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620" tabRatio="598" activeTab="0"/>
  </bookViews>
  <sheets>
    <sheet name="Notes" sheetId="1" r:id="rId1"/>
    <sheet name="Indv Schools" sheetId="2" r:id="rId2"/>
    <sheet name="All Schools" sheetId="3" state="hidden" r:id="rId3"/>
    <sheet name="McMillan " sheetId="4" r:id="rId4"/>
    <sheet name="Sheet1" sheetId="5" state="hidden" r:id="rId5"/>
  </sheets>
  <externalReferences>
    <externalReference r:id="rId8"/>
    <externalReference r:id="rId9"/>
    <externalReference r:id="rId10"/>
  </externalReferences>
  <definedNames>
    <definedName name="_xlnm._FilterDatabase" localSheetId="2" hidden="1">'All Schools'!$A$4:$CL$4</definedName>
    <definedName name="Ab">'[1]Proforma'!$E$20</definedName>
    <definedName name="All_distance_threshold">'[1]Proforma'!$D$49</definedName>
    <definedName name="All_PupilNo_threshold">'[1]Proforma'!$G$49</definedName>
    <definedName name="an">'[1]Proforma'!$E$21</definedName>
    <definedName name="Anchor_Factors">'[2]Factors'!$A$3</definedName>
    <definedName name="Anchor_NDShare">'[2]New Delegation Control'!$A$52</definedName>
    <definedName name="AWPU_KS3_Rate">'[1]Proforma'!$E$15</definedName>
    <definedName name="AWPU_KS4_Rate">'[1]Proforma'!$E$16</definedName>
    <definedName name="AWPU_Pri_Rate">'[1]Proforma'!$E$14</definedName>
    <definedName name="Capping_Scaling_YesNo">'[1]Proforma'!$J$71</definedName>
    <definedName name="Ceiling">'[1]Proforma'!$D$72</definedName>
    <definedName name="Col_Ref_Factors">'[2]Factors'!$A$2:$AW$2</definedName>
    <definedName name="Col_Ref_NDShare">'[2]New Delegation Control'!$A$51:$AQ$51</definedName>
    <definedName name="EAL_Pri">'[1]Proforma'!$E$28</definedName>
    <definedName name="EAL_Pri_Option">'[1]Proforma'!$D$28</definedName>
    <definedName name="EAL_Sec">'[1]Proforma'!$F$29</definedName>
    <definedName name="EAL_Sec_Option">'[1]Proforma'!$D$29</definedName>
    <definedName name="Ever6_pri_rate">'[1]Proforma'!$E$19</definedName>
    <definedName name="Ever6_sec_rate">'[1]Proforma'!$F$19</definedName>
    <definedName name="FSM_Pri_Rate">'[1]Proforma'!$E$18</definedName>
    <definedName name="FSM_Sec_Rate">'[1]Proforma'!$F$18</definedName>
    <definedName name="IDACI_B1_Pri">'All Schools'!$F$17</definedName>
    <definedName name="IDACI_B1_Sec">'[1]Proforma'!$F$20</definedName>
    <definedName name="IDACI_B2_Pri">'All Schools'!$F$18</definedName>
    <definedName name="IDACI_B2_Sec">'[1]Proforma'!$F$21</definedName>
    <definedName name="IDACI_B3_Pri">'All Schools'!$F$19</definedName>
    <definedName name="IDACI_B3_Sec">'[1]Proforma'!$F$22</definedName>
    <definedName name="IDACI_B4_Pri">'All Schools'!$F$20</definedName>
    <definedName name="IDACI_B4_Sec">'[1]Proforma'!$F$23</definedName>
    <definedName name="IDACI_B5_Pri">'All Schools'!$F$21</definedName>
    <definedName name="IDACI_B5_Sec">'[1]Proforma'!$F$24</definedName>
    <definedName name="IDACI_B6_Pri">'[1]Proforma'!$E$25</definedName>
    <definedName name="IDACI_B6_Sec">'[1]Proforma'!$F$25</definedName>
    <definedName name="ISB">'[1]Proforma'!$E$22</definedName>
    <definedName name="LAC_Rate">'[1]Proforma'!$E$27</definedName>
    <definedName name="LCHI_Pri">'[1]Proforma'!$F$32</definedName>
    <definedName name="LCHI_Sec">'[1]Proforma'!$F$33</definedName>
    <definedName name="MFG_Rate">'[1]Proforma'!$H$69</definedName>
    <definedName name="Mid_distance_threshold">'[1]Proforma'!$D$48</definedName>
    <definedName name="Mid_PupilNo_threshold">'[1]Proforma'!$G$48</definedName>
    <definedName name="min_pupil_rate_KS3">'[1]Proforma'!$E$9</definedName>
    <definedName name="min_pupil_rate_KS4">'[1]Proforma'!$G$9</definedName>
    <definedName name="min_pupil_rate_pri">'[1]Proforma'!$D$9</definedName>
    <definedName name="Mobility_Pri">'[1]Proforma'!$E$30</definedName>
    <definedName name="Mobility_Sec">'[1]Proforma'!$F$30</definedName>
    <definedName name="Notional_SEN_AWPU_KS3">'[1]Proforma'!$L$15</definedName>
    <definedName name="Notional_SEN_AWPU_KS4">'[1]Proforma'!$L$16</definedName>
    <definedName name="Notional_SEN_AWPU_Pri">'[1]Proforma'!$L$14</definedName>
    <definedName name="Notional_SEN_EAL_Pri">'[1]Proforma'!$L$28</definedName>
    <definedName name="Notional_SEN_EAL_Sec">'[1]Proforma'!$M$29</definedName>
    <definedName name="Notional_SEN_Ever6_Pri">'[1]Proforma'!$L$19</definedName>
    <definedName name="Notional_SEN_Ever6_Sec">'[1]Proforma'!$M$19</definedName>
    <definedName name="Notional_SEN_ExCir2">'[1]Proforma'!$L$57</definedName>
    <definedName name="Notional_SEN_ExCir3">'[1]Proforma'!$L$58</definedName>
    <definedName name="Notional_SEN_ExCir4">'[1]Proforma'!$L$59</definedName>
    <definedName name="Notional_SEN_ExCir5">'[1]Proforma'!$L$60</definedName>
    <definedName name="Notional_SEN_ExCir6">'[1]Proforma'!$L$61</definedName>
    <definedName name="Notional_SEN_ExCir7">'[1]Proforma'!$L$62</definedName>
    <definedName name="Notional_SEN_FSM_Pri">'[1]Proforma'!$L$18</definedName>
    <definedName name="Notional_SEN_FSM_Sec">'[1]Proforma'!$M$18</definedName>
    <definedName name="Notional_SEN_IDACI_B1_Pri">'[1]Proforma'!$L$20</definedName>
    <definedName name="Notional_SEN_IDACI_B1_Sec">'[1]Proforma'!$M$20</definedName>
    <definedName name="Notional_SEN_IDACI_B2_Pri">'[1]Proforma'!$L$21</definedName>
    <definedName name="Notional_SEN_IDACI_B2_Sec">'[1]Proforma'!$M$21</definedName>
    <definedName name="Notional_SEN_IDACI_B3_Pri">'[1]Proforma'!$L$22</definedName>
    <definedName name="Notional_SEN_IDACI_B3_Sec">'[1]Proforma'!$M$22</definedName>
    <definedName name="Notional_SEN_IDACI_B4_Pri">'[1]Proforma'!$L$23</definedName>
    <definedName name="Notional_SEN_IDACI_B4_Sec">'[1]Proforma'!$M$23</definedName>
    <definedName name="Notional_SEN_IDACI_B5_Pri">'[1]Proforma'!$L$24</definedName>
    <definedName name="Notional_SEN_IDACI_B5_Sec">'[1]Proforma'!$M$24</definedName>
    <definedName name="Notional_SEN_IDACI_B6_Pri">'[1]Proforma'!$L$25</definedName>
    <definedName name="Notional_SEN_IDACI_B6_Sec">'[1]Proforma'!$M$25</definedName>
    <definedName name="Notional_SEN_LAC">'[1]Proforma'!$L$27</definedName>
    <definedName name="Notional_SEN_LCHI_Pri">'[1]Proforma'!$L$32</definedName>
    <definedName name="Notional_SEN_LCHI_Sec">'[1]Proforma'!$M$33</definedName>
    <definedName name="Notional_SEN_Lump_sum_Pri">'[1]Proforma'!$L$43</definedName>
    <definedName name="Notional_SEN_Lump_sum_Sec">'[1]Proforma'!$M$43</definedName>
    <definedName name="Notional_SEN_MFG">'[1]Proforma'!$L$76</definedName>
    <definedName name="Notional_SEN_Mobility_Pri">'[1]Proforma'!$L$30</definedName>
    <definedName name="Notional_SEN_Mobility_Sec">'[1]Proforma'!$M$30</definedName>
    <definedName name="Notional_SEN_MPPF">'[1]Proforma'!$L$66</definedName>
    <definedName name="Notional_SEN_PFI">'[1]Proforma'!$L$53</definedName>
    <definedName name="Notional_SEN_Rates">'[1]Proforma'!$L$52</definedName>
    <definedName name="Notional_SEN_Sparsity_Pri">'[1]Proforma'!$L$44</definedName>
    <definedName name="Notional_SEN_Sparsity_Sec">'[1]Proforma'!$M$44</definedName>
    <definedName name="Notional_SEN_Split_sites">'[1]Proforma'!$L$51</definedName>
    <definedName name="Pri_distance_threshold">'[1]Proforma'!$D$46</definedName>
    <definedName name="Pri_PupilNo_threshold">'[1]Proforma'!$G$46</definedName>
    <definedName name="Primary_Lump_sum">'[1]Proforma'!$F$43</definedName>
    <definedName name="_xlnm.Print_Area" localSheetId="2">'All Schools'!$A$1:$CK$97</definedName>
    <definedName name="_xlnm.Print_Area" localSheetId="1">'Indv Schools'!$A$1:$G$75</definedName>
    <definedName name="_xlnm.Print_Area" localSheetId="0">'Notes'!$B$1:$C$30</definedName>
    <definedName name="_xlnm.Print_Titles" localSheetId="2">'All Schools'!$B:$C</definedName>
    <definedName name="Reception_Uplift_YesNo">'[3]Proforma'!$E$9</definedName>
    <definedName name="Scaling_Factor">'[1]Proforma'!$G$72</definedName>
    <definedName name="School_URN_Factors">'[2]Factors'!$A$3:$A$82</definedName>
    <definedName name="School_URN_NDShare">'[2]New Delegation Control'!$A$52:$A$131</definedName>
    <definedName name="Sec_distance_threshold">'[1]Proforma'!$D$47</definedName>
    <definedName name="Sec_PupilNo_threshold">'[1]Proforma'!$G$47</definedName>
    <definedName name="Secondary_Lump_Sum">'[1]Proforma'!$G$43</definedName>
    <definedName name="Sparsity_All_lump_sum">'[1]Proforma'!$I$44</definedName>
    <definedName name="Sparsity_Mid_lump_sum">'[1]Proforma'!$H$44</definedName>
    <definedName name="Sparsity_Pri_lump_sum">'[1]Proforma'!$F$44</definedName>
    <definedName name="Sparsity_Sec_lump_sum">'[1]Proforma'!$G$44</definedName>
    <definedName name="ste">'[1]Proforma'!$E$24</definedName>
    <definedName name="Tapered_all_lump_sum">'[1]Proforma'!$K$49</definedName>
    <definedName name="Tapered_mid_lump_sum">'[1]Proforma'!$K$48</definedName>
    <definedName name="Tapered_primary_lump_sum">'[1]Proforma'!$K$46</definedName>
    <definedName name="Tapered_secondary_lump_sum">'[1]Proforma'!$K$47</definedName>
    <definedName name="tye">'[1]Proforma'!$E$21</definedName>
  </definedNames>
  <calcPr fullCalcOnLoad="1"/>
</workbook>
</file>

<file path=xl/sharedStrings.xml><?xml version="1.0" encoding="utf-8"?>
<sst xmlns="http://schemas.openxmlformats.org/spreadsheetml/2006/main" count="396" uniqueCount="277">
  <si>
    <t>Post de-delegation budget</t>
  </si>
  <si>
    <t>School Name</t>
  </si>
  <si>
    <t>NOR</t>
  </si>
  <si>
    <t>Bourne Primary School</t>
  </si>
  <si>
    <t>Colham Manor Primary School</t>
  </si>
  <si>
    <t>Coteford Junior School</t>
  </si>
  <si>
    <t>Coteford Infant School</t>
  </si>
  <si>
    <t>Deanesfield Primary School</t>
  </si>
  <si>
    <t>Field End Junior School</t>
  </si>
  <si>
    <t>Glebe Primary School</t>
  </si>
  <si>
    <t>Harefield Junior School</t>
  </si>
  <si>
    <t>Lady Bankes Infant School</t>
  </si>
  <si>
    <t>Laurel Lane Primary School</t>
  </si>
  <si>
    <t>Newnham Junior School</t>
  </si>
  <si>
    <t>Newnham Infant School</t>
  </si>
  <si>
    <t>Ryefield Primary School</t>
  </si>
  <si>
    <t>Whitehall Junior School</t>
  </si>
  <si>
    <t>Whiteheath Junior School</t>
  </si>
  <si>
    <t>Yeading Junior School</t>
  </si>
  <si>
    <t>Hermitage Primary School</t>
  </si>
  <si>
    <t>Rabbsfarm Primary School</t>
  </si>
  <si>
    <t>Whitehall Infant School</t>
  </si>
  <si>
    <t>Frithwood Primary School</t>
  </si>
  <si>
    <t>Ruislip Gardens Primary School</t>
  </si>
  <si>
    <t>Hillingdon Primary School</t>
  </si>
  <si>
    <t>Cherry Lane Primary</t>
  </si>
  <si>
    <t>Holy Trinity C. of E. Primary</t>
  </si>
  <si>
    <t>Dr. Triplett's C.E. Primary</t>
  </si>
  <si>
    <t>Botwell House Catholic Primary School</t>
  </si>
  <si>
    <t>St Bernadette Catholic Primary School</t>
  </si>
  <si>
    <t>St.Catherine Catholic Primary School</t>
  </si>
  <si>
    <t>St Mary's Catholic Primary School</t>
  </si>
  <si>
    <t>Sacred Heart Catholic Primary School</t>
  </si>
  <si>
    <t>Oak Farm Infant School</t>
  </si>
  <si>
    <t>Oak Farm Junior School</t>
  </si>
  <si>
    <t>Grange Park Junior School</t>
  </si>
  <si>
    <t>Hillside Infant School</t>
  </si>
  <si>
    <t>Hillside Junior School</t>
  </si>
  <si>
    <t>Charville Primary School</t>
  </si>
  <si>
    <t>Hayes Park</t>
  </si>
  <si>
    <t>Wood End Park Community</t>
  </si>
  <si>
    <t>Ruislip High School</t>
  </si>
  <si>
    <t>Bishop Ramsey CE School</t>
  </si>
  <si>
    <t>Guru Nanak Sikh Academy</t>
  </si>
  <si>
    <t>Queensmead School</t>
  </si>
  <si>
    <t>Uxbridge High School</t>
  </si>
  <si>
    <t>Rosedale College</t>
  </si>
  <si>
    <t>Hewens College</t>
  </si>
  <si>
    <t>The Douay Martyrs School</t>
  </si>
  <si>
    <t>Barnhill Community High</t>
  </si>
  <si>
    <t>Low Attainment (P)</t>
  </si>
  <si>
    <t>Low Attainment (S)</t>
  </si>
  <si>
    <t>EAL (P)</t>
  </si>
  <si>
    <t>EAL (S)</t>
  </si>
  <si>
    <t>Mobility (P)</t>
  </si>
  <si>
    <t>Mobility (S)</t>
  </si>
  <si>
    <t>Lump Sum</t>
  </si>
  <si>
    <t>Split Sites</t>
  </si>
  <si>
    <t>Rates</t>
  </si>
  <si>
    <t>PFI</t>
  </si>
  <si>
    <t>AWPU Total</t>
  </si>
  <si>
    <t>AEN Total</t>
  </si>
  <si>
    <t>Total Allocation</t>
  </si>
  <si>
    <t>Pri Funding</t>
  </si>
  <si>
    <t>Sec Funding</t>
  </si>
  <si>
    <t>MFG % change</t>
  </si>
  <si>
    <t>MFG Value adjustment</t>
  </si>
  <si>
    <t>Post MFG Budget</t>
  </si>
  <si>
    <t>Dedelegation</t>
  </si>
  <si>
    <t>Units</t>
  </si>
  <si>
    <t>DfE</t>
  </si>
  <si>
    <t>AWPU Primary</t>
  </si>
  <si>
    <t>AWPU KS3</t>
  </si>
  <si>
    <t>AWPU KS4</t>
  </si>
  <si>
    <t>Unit Value</t>
  </si>
  <si>
    <t>Total value</t>
  </si>
  <si>
    <t>EAL Primary</t>
  </si>
  <si>
    <t>EAL Secondary</t>
  </si>
  <si>
    <t>Mobility Primary</t>
  </si>
  <si>
    <t>Mobility Secondary</t>
  </si>
  <si>
    <t>Split Site</t>
  </si>
  <si>
    <t>School Factors Total</t>
  </si>
  <si>
    <t>Select School</t>
  </si>
  <si>
    <t>Harefield Infant School</t>
  </si>
  <si>
    <t>Harlyn Primary School</t>
  </si>
  <si>
    <t>Harmondsworth Primary School</t>
  </si>
  <si>
    <t>Heathrow Primary School</t>
  </si>
  <si>
    <t>Lady Bankes Junior School</t>
  </si>
  <si>
    <t>Minet Junior School</t>
  </si>
  <si>
    <t>Minet Infant School</t>
  </si>
  <si>
    <t>Yeading Infant School</t>
  </si>
  <si>
    <t>Highfield Primary School</t>
  </si>
  <si>
    <t>Warrender Primary School</t>
  </si>
  <si>
    <t>Pinkwell Primary School</t>
  </si>
  <si>
    <t>BWI CE Primary School</t>
  </si>
  <si>
    <t>St Andrews CE Primary School</t>
  </si>
  <si>
    <t>Haydon School</t>
  </si>
  <si>
    <t>Vyners School</t>
  </si>
  <si>
    <t>Northwood School</t>
  </si>
  <si>
    <t>select school</t>
  </si>
  <si>
    <t>DfE no.</t>
  </si>
  <si>
    <t>Low Att Pri</t>
  </si>
  <si>
    <t>Mobility Pri</t>
  </si>
  <si>
    <t>Mobility Sec</t>
  </si>
  <si>
    <t>Total</t>
  </si>
  <si>
    <t>Low Att Sec</t>
  </si>
  <si>
    <t>MFG Budget</t>
  </si>
  <si>
    <t>MFG % Change</t>
  </si>
  <si>
    <t>MFG Adjustment %</t>
  </si>
  <si>
    <t>School factors total</t>
  </si>
  <si>
    <t xml:space="preserve">MFG Adjustment </t>
  </si>
  <si>
    <t>Notes</t>
  </si>
  <si>
    <t>IDACI</t>
  </si>
  <si>
    <t>£</t>
  </si>
  <si>
    <t>Funding</t>
  </si>
  <si>
    <t>Hourly Rate</t>
  </si>
  <si>
    <t>Allocation</t>
  </si>
  <si>
    <t>(£ / hour)</t>
  </si>
  <si>
    <t>Maintained Nursery School lump sum</t>
  </si>
  <si>
    <t>Total Hourly Rate</t>
  </si>
  <si>
    <t>EYSFF Funding of Projected Hours (Projected Hours × Total Hourly Rate)</t>
  </si>
  <si>
    <t>Total EYSFF Funding</t>
  </si>
  <si>
    <t>Base</t>
  </si>
  <si>
    <t>The Breakspear School</t>
  </si>
  <si>
    <t>Cowley St. Laurence CE Primary</t>
  </si>
  <si>
    <t>St Matthews Primary School</t>
  </si>
  <si>
    <t>Harlington School</t>
  </si>
  <si>
    <t>Notional SEN allocation</t>
  </si>
  <si>
    <t>Final DSG Schools Block Budget</t>
  </si>
  <si>
    <t>Grange Park Infant School</t>
  </si>
  <si>
    <t>The Harefield Academy</t>
  </si>
  <si>
    <t>John Locke Academy</t>
  </si>
  <si>
    <t>Lake Farm Park Academy</t>
  </si>
  <si>
    <t>Nanaksar Primary School</t>
  </si>
  <si>
    <t>Parkside Studio College</t>
  </si>
  <si>
    <t>Rosedale Primary School</t>
  </si>
  <si>
    <t>INDICATIVE</t>
  </si>
  <si>
    <t>EYSFF</t>
  </si>
  <si>
    <t>Notes to the funding allocations</t>
  </si>
  <si>
    <t>DSG Schools Block</t>
  </si>
  <si>
    <t>Heathrow Aviation Engineering UTC</t>
  </si>
  <si>
    <t>Bishopshalt School</t>
  </si>
  <si>
    <t>Brookside Primary School</t>
  </si>
  <si>
    <t>Hewens Primary School</t>
  </si>
  <si>
    <t>St Martins CE Primary</t>
  </si>
  <si>
    <t>De Salis Studio College</t>
  </si>
  <si>
    <t>Deprivation (FSM Ever 6) Primary</t>
  </si>
  <si>
    <t>Growth Contingency</t>
  </si>
  <si>
    <t>Top up (Low incidence statements)</t>
  </si>
  <si>
    <t>Belmore Nursery and Primary School</t>
  </si>
  <si>
    <t>St Swithun Wells Catholic Primary School</t>
  </si>
  <si>
    <t>Field End Infant School</t>
  </si>
  <si>
    <t xml:space="preserve">Other DSG funding </t>
  </si>
  <si>
    <t>Other DSG Funding</t>
  </si>
  <si>
    <t>Deprivation - Primary FSM6</t>
  </si>
  <si>
    <t>Deprivation - Secondary FSM 6</t>
  </si>
  <si>
    <t>Deprivation - Primary IDACI Band F</t>
  </si>
  <si>
    <t>Deprivation - Primary IDACI Band E</t>
  </si>
  <si>
    <t>Deprivation - Primary IDACI Band D</t>
  </si>
  <si>
    <t>Deprivation - Primary IDACI Band C</t>
  </si>
  <si>
    <t>Deprivation - Primary IDACI Band A</t>
  </si>
  <si>
    <t>Deprivation - Primary IDACI Band B</t>
  </si>
  <si>
    <t>Deprivation - Secondary IDACI Band F</t>
  </si>
  <si>
    <t>Deprivation - Secondary IDACI Band E</t>
  </si>
  <si>
    <t>Deprivation - Secondary IDACI Band D</t>
  </si>
  <si>
    <t>Deprivation - Secondary IDACI Band C</t>
  </si>
  <si>
    <t>Deprivation - Secondary IDACI Band A</t>
  </si>
  <si>
    <t>Deprivation - Secondary IDACI Band B</t>
  </si>
  <si>
    <t>Deprivation (FSM Ever 6) Secondary</t>
  </si>
  <si>
    <t>Deprivation (IDACI) Band F Primary</t>
  </si>
  <si>
    <t>Deprivation (IDACI) Band E Primary</t>
  </si>
  <si>
    <t>Deprivation (IDACI) Band D Primary</t>
  </si>
  <si>
    <t>Deprivation (IDACI) Band C Primary</t>
  </si>
  <si>
    <t>Deprivation (IDACI) Band B Primary</t>
  </si>
  <si>
    <t>Deprivation (IDACI) Band A Primary</t>
  </si>
  <si>
    <t>Deprivation (IDACI) Band F Secondary</t>
  </si>
  <si>
    <t>Deprivation (IDACI) Band E Secondary</t>
  </si>
  <si>
    <t>Deprivation (IDACI) Band D Secondary</t>
  </si>
  <si>
    <t>Deprivation (IDACI) Band C Secondary</t>
  </si>
  <si>
    <t>Deprivation (IDACI) Band B Secondary</t>
  </si>
  <si>
    <t>Deprivation (IDACI) Band A Secondary</t>
  </si>
  <si>
    <t>Deprivation - Primary FSM 6</t>
  </si>
  <si>
    <t>Education functions</t>
  </si>
  <si>
    <t>The Global Academy</t>
  </si>
  <si>
    <t>Swakeleys School for Girls incorporating 6th Form @ Swakeleys</t>
  </si>
  <si>
    <t xml:space="preserve">Cranford Park Primary </t>
  </si>
  <si>
    <r>
      <t>English as an Additional Language</t>
    </r>
    <r>
      <rPr>
        <sz val="10"/>
        <rFont val="Arial"/>
        <family val="2"/>
      </rPr>
      <t xml:space="preserve"> - The agreed factor that has been used is EAL3, where the number of eligible pupils is determined based on children deemed EAL on the census that have been in the school system for less than 3 years.                     </t>
    </r>
  </si>
  <si>
    <t>Education Functions</t>
  </si>
  <si>
    <t>Additional Needs</t>
  </si>
  <si>
    <t>Whiteheath Infant School</t>
  </si>
  <si>
    <t>William Byrd Primary Academy</t>
  </si>
  <si>
    <t>West Drayton Academy</t>
  </si>
  <si>
    <t>Park Academy West London</t>
  </si>
  <si>
    <t>notes updated but need checking</t>
  </si>
  <si>
    <t>Copy and pasted data from apt</t>
  </si>
  <si>
    <t>Copies awpu, idaci, attain, mob rates across</t>
  </si>
  <si>
    <t>West london academy renamed - West Drayton and William Byrd moved</t>
  </si>
  <si>
    <t xml:space="preserve">Deprivation rate changed </t>
  </si>
  <si>
    <t>MFG values copied</t>
  </si>
  <si>
    <t>EYSFF three terms hours values pasted</t>
  </si>
  <si>
    <t>SEN TOP UP Funding</t>
  </si>
  <si>
    <t>Oak Wood School</t>
  </si>
  <si>
    <t>idaci avg copied</t>
  </si>
  <si>
    <t>name changes</t>
  </si>
  <si>
    <t>eal formula</t>
  </si>
  <si>
    <t>Prior Attainment Primary</t>
  </si>
  <si>
    <t>Prior Attainment Secondary</t>
  </si>
  <si>
    <r>
      <t xml:space="preserve">Education Functions - </t>
    </r>
    <r>
      <rPr>
        <sz val="10"/>
        <rFont val="Arial"/>
        <family val="2"/>
      </rPr>
      <t>This is only applicable to council maintained schools (i.e. not academies or free schools). Schools Forum agreed to the de-delegation of funding for the Teachers Pensions Support &amp; Administration.</t>
    </r>
  </si>
  <si>
    <t>Pinkwell Primary</t>
  </si>
  <si>
    <t>19-20 MFG Unit Value</t>
  </si>
  <si>
    <t>De-delegation</t>
  </si>
  <si>
    <t>EAL 3 Primary</t>
  </si>
  <si>
    <t>EAL 3 Secondary</t>
  </si>
  <si>
    <t>Non DSG grants - estimates maintained schools only</t>
  </si>
  <si>
    <t>Pupil Premium-Deprivation</t>
  </si>
  <si>
    <t>Pupil Premium - Service Children</t>
  </si>
  <si>
    <t>Pupil Premium - Post LAC</t>
  </si>
  <si>
    <t>PE and Sports</t>
  </si>
  <si>
    <t>UIFSM</t>
  </si>
  <si>
    <t>DFC</t>
  </si>
  <si>
    <t>Other Grants (ESTIMATES) Maintained schools only</t>
  </si>
  <si>
    <t>Pupil Premium (Deprivation)</t>
  </si>
  <si>
    <t>Pupil Premium (Service Children)</t>
  </si>
  <si>
    <t>Pupil Premium (Post LAC)</t>
  </si>
  <si>
    <t>PE and Sports Grant</t>
  </si>
  <si>
    <t>Universal Infant Free School Meals (UIFSM)</t>
  </si>
  <si>
    <t>Devolved Formula Capital</t>
  </si>
  <si>
    <r>
      <t>Prior Attainment Secondary</t>
    </r>
    <r>
      <rPr>
        <sz val="10"/>
        <rFont val="Arial"/>
        <family val="2"/>
      </rPr>
      <t xml:space="preserve"> - This is now calculated using the new KS2 tests for Yr 7-9 pupils, and the previous testing regime for Yr 10 &amp; 11 pupils. This factor applies to secondary pupils not reaching the expected standard in KS2 at either reading or writing or maths.</t>
    </r>
  </si>
  <si>
    <t>20-21</t>
  </si>
  <si>
    <t>MFG Unit Value 19/20</t>
  </si>
  <si>
    <t>Projected Universal Hours</t>
  </si>
  <si>
    <t>Projected Additional Hours</t>
  </si>
  <si>
    <t>EYSFF (Additional)</t>
  </si>
  <si>
    <t>EYSFF (Additional 15 Hrs)</t>
  </si>
  <si>
    <t>EYSFF (Universal 15 Hrs)</t>
  </si>
  <si>
    <t>SCHOOLS BLOCK FORMULA 2020-21</t>
  </si>
  <si>
    <t>19-20 rates adjustment</t>
  </si>
  <si>
    <t>Adjustment to 20-21 budget share</t>
  </si>
  <si>
    <t>20-21 MFG Budget</t>
  </si>
  <si>
    <t>20-21 MFG Unit Value</t>
  </si>
  <si>
    <t>20-21 MFG Adjustment</t>
  </si>
  <si>
    <t>Growth Contingency Academies April-Aug 20</t>
  </si>
  <si>
    <t>ESFA Sixth form (Apr 20-Jul 21)</t>
  </si>
  <si>
    <t>ESFA Sixth form (Aug 20-Mar 21)</t>
  </si>
  <si>
    <t>Adjustment to 19-20 rates</t>
  </si>
  <si>
    <t>Adjustments to 20-19 budget shares</t>
  </si>
  <si>
    <t>Growth Contingency Academies Apr 20-Aug 20</t>
  </si>
  <si>
    <t>16-19 Revenue Funding (Apr 20-Jul 20)</t>
  </si>
  <si>
    <t>16-19 Revenue Funding (Aug 20-Mar 21)</t>
  </si>
  <si>
    <t>NOR Primary</t>
  </si>
  <si>
    <t>NOR Secondary</t>
  </si>
  <si>
    <t>NOR KS3</t>
  </si>
  <si>
    <t>NOR KS4</t>
  </si>
  <si>
    <t>MFG Unit Value 20/21</t>
  </si>
  <si>
    <t>20-21 rates</t>
  </si>
  <si>
    <r>
      <t>Unit Data</t>
    </r>
    <r>
      <rPr>
        <sz val="10"/>
        <color indexed="8"/>
        <rFont val="Arial"/>
        <family val="2"/>
      </rPr>
      <t xml:space="preserve"> - The unit data used comes directly from the DfE, which is in the format as a percentage of the number on roll. All authorities have been instructed to use this data, which is driven in the main by the October 2019 pupil census data. This data is only amendable where it is not representative. As percentages of numbers on roll have been used, the pupil numbers will not be absolute.
The unit values for Additional Educational Need (AEN) have been increased by 4%, from the 2019-20 rates in line with the increases to the core factors in the National Funding Formula for 2020/21. The exception to this are the free school meals factors, which have increased by 1.84% as it is intended to broadly reflect actual costs.
In order to manage the distribution of resources, the AWPU has been used to balance the total Individual Schools Budget shares.</t>
    </r>
  </si>
  <si>
    <r>
      <t>Pupil Data</t>
    </r>
    <r>
      <rPr>
        <sz val="10"/>
        <rFont val="Arial"/>
        <family val="2"/>
      </rPr>
      <t xml:space="preserve"> - The Pupil Data is based on the October 2019 pupil census as provided by the DfE. The NOR used does not include pupils on the census marked as 'S' (subsidiary registration for dual roled pupils)                                                                                                                                                                                                                                                   
If a school has opened in the last 7 years and is still admitting to all its year groups, we are required by regulations to estimate pupil numbers. Therefore the NOR for these schools will not match the value on the October 2019 census. For these schools, the figures shown are calculated based on the LA's financial year and as such include an element of part year effect for growth for our modelling purposes only, and also to enable the ESFA to recoup funding for them.              </t>
    </r>
  </si>
  <si>
    <r>
      <t>AWPU</t>
    </r>
    <r>
      <rPr>
        <sz val="10"/>
        <rFont val="Arial"/>
        <family val="2"/>
      </rPr>
      <t xml:space="preserve"> - There are only three allowable rates, Primary, KS3 and KS4. There is an increase from last year on these unit rates due to the significant increase in Schools Block funding.</t>
    </r>
  </si>
  <si>
    <r>
      <t>Prior Attainment Primary</t>
    </r>
    <r>
      <rPr>
        <sz val="10"/>
        <rFont val="Arial"/>
        <family val="2"/>
      </rPr>
      <t xml:space="preserve"> - This has to be calculated on the Early Years Foundation Stage Profile (EYSFP). For 2020-21 the number of eligible pupils for this factor is based on primary pupils not achieving the expected level of development in the EYSFP. </t>
    </r>
  </si>
  <si>
    <r>
      <t>Minimum Funding Guarantee Budget</t>
    </r>
    <r>
      <rPr>
        <sz val="10"/>
        <rFont val="Arial"/>
        <family val="2"/>
      </rPr>
      <t xml:space="preserve"> - This is determined by deducting the lump sum and the rates figures from the
2020-21 school budget share.  This figure is then divided by the pupil numbers on roll to arrive at the per pupil funding for
2020-21. This is then compared to a similarly calculated per pupil funding for 2019-20.</t>
    </r>
  </si>
  <si>
    <r>
      <t xml:space="preserve">Growth Contingency - </t>
    </r>
    <r>
      <rPr>
        <sz val="10"/>
        <rFont val="Arial"/>
        <family val="2"/>
      </rPr>
      <t>This is a contingency of DSG funding held and managed by Schools Forum, which provides funding to those schools who take on an additional form of entry in September. The rate per form of entry has been set at £68,520 for 2020-21. This is calculated by dividing the total AWPU funding for the year by the total number of pupils, multiplied by 30, and apportioned 7/12ths. Academy schools will receive 12/12ths of this funding over the academic year, due to financial year timings. These allocations were approved by Schools Forum at the January 2020 meeting.</t>
    </r>
  </si>
  <si>
    <t>PE and Sports Grant This is the final part of the academic year 2019-20 grant, due in May 20, and an estimate of the first instalment of the 2020-21 academic year funding.  We have based the estimate on October 19 pupils and the current funding rates, this will be confirmed by the DfE later in the year, after which adjustments may be made to your cash advance allocation.</t>
  </si>
  <si>
    <r>
      <rPr>
        <b/>
        <sz val="10"/>
        <rFont val="Arial"/>
        <family val="2"/>
      </rPr>
      <t xml:space="preserve">16-19 Revenue Funding - </t>
    </r>
    <r>
      <rPr>
        <sz val="10"/>
        <rFont val="Arial"/>
        <family val="2"/>
      </rPr>
      <t>Allocations for Apr 20-Jul 20 and Aug 20-Mar 21 as communicated to us by the ESFA</t>
    </r>
  </si>
  <si>
    <r>
      <t xml:space="preserve">DFC - </t>
    </r>
    <r>
      <rPr>
        <sz val="10"/>
        <rFont val="Arial"/>
        <family val="2"/>
      </rPr>
      <t>This estimate is based on your 2019-20 DFC allocation. As soon as we receive the Devolved Formula Capital allocations for 2020-21 from the DfE we will communicate this to schools and make the necessary adjustment to your funding through the cash advance.</t>
    </r>
  </si>
  <si>
    <t>MCMILLAN NURSERY EYSFF  BUDGET 2020-21</t>
  </si>
  <si>
    <t>Individual School Budget 2020-21</t>
  </si>
  <si>
    <r>
      <t xml:space="preserve">Mobility - </t>
    </r>
    <r>
      <rPr>
        <sz val="10"/>
        <rFont val="Arial"/>
        <family val="2"/>
      </rPr>
      <t>This factor is based on those pupils whose start date at the school is not September, and entered the school in the last three academic years (excluding nursery entrants). There is a change to the threshold for 2020-21, which has reduced to 6% (in previous years this was 10%), so schools with over 6% of pupils meeting the criteria will attract funding under this factor.</t>
    </r>
  </si>
  <si>
    <r>
      <t xml:space="preserve">Top up (Low Incidence Statements) - </t>
    </r>
    <r>
      <rPr>
        <sz val="10"/>
        <rFont val="Arial"/>
        <family val="2"/>
      </rPr>
      <t xml:space="preserve">This is funding for named children with an EHCP, and is based on the current known children for your school as at March 2020. Adjustments have been made for September leavers where known.
</t>
    </r>
    <r>
      <rPr>
        <u val="single"/>
        <sz val="10"/>
        <rFont val="Arial"/>
        <family val="2"/>
      </rPr>
      <t>This figure will be adjusted throughout the year to reflect changes to actual children attending.</t>
    </r>
  </si>
  <si>
    <t>Pupil Premium (Deprivation) This is based on the number of children, who have been eligible at any census in the previous 6 years for free school meals.  The figures quoted are based on the January 19 census multiplied by the 2020-21 rates per pupil. In 2020-21 there is an increase in the per pupil rates to £1,345 for Primary and £955 for Secondary. These allocations will be updated based on January 20 data, when the DfE release this information to us in June, after which we will make an adjustment to your cash advance allocation where necessary</t>
  </si>
  <si>
    <t>Pupil Premium (Service Children) This is based on the number of children who have been recorded as a service child at any census in the last 6 years.  A service child is defined as one whose parents or guardian are a member of the British Armed Forces.  The figures quoted are based on the January 19 census multiplied by the 2020-21 rates per pupil.  These allocations will be updated based on January 20 data, when the DfE release this information to us in June, after which we will make an adjustment to your cash advance allocation where necessary</t>
  </si>
  <si>
    <t>Universal Infant Free School Meals (UIFSM) This is an academic year grant, therefore your financial year allocation will be made up of 2 amounts - the final estimated payment for the academic year 2019-20 and the first estimated payment for academic year 2020-21.  These figures are based on the latest allocations form the DfE. The final figures will be issued by the DfE in June, after which we will make an amendment to your cash advance allocation where necessary</t>
  </si>
  <si>
    <t>Deprivation - The allocation of this factor uses FSM6 and IDACI data. The total funding distributed through the factor in 2020/21 is 7.4%.                                                                                                                                                                                             FSM6 - This is used to allocate 75% of the total deprivation funding. The data set used is the same as the Pupil Premium allocation data for 2019-20, and applied as a percentage to the October 2019 NOR                                                                                                                                                       IDACI (Income and Deprivation Affecting Children Index) - This is used to allocate 25% of the total deprivation funding. The allocation of this factor uses IDACI data from 2015 (the DfE are currently reviewing the effect of any changes before using the most recent data published in September 2019). Each postcode of a child on the October 2019 census is assigned a scoring using the index, with 1 being the most deprived and 0 the least. Any child with a scoring over 0.2 will attract funding under this factor, with funding determined by the pre-determined band a child falls into.</t>
  </si>
  <si>
    <t>Pupil Premium (Post LAC) This is based on the number of children who have been adopted from care after 2005, or left care under a special guardianship order after 1991. The figures quoted have been based on January 19 census data. In 2020-21 there is an increase in the per pupil rates to £2,345. The DfE will release final allocations in June, after which we will confirm and make an adjustment to your cash advance allocation where necessary</t>
  </si>
  <si>
    <r>
      <t>De-Delegation</t>
    </r>
    <r>
      <rPr>
        <sz val="10"/>
        <rFont val="Arial"/>
        <family val="2"/>
      </rPr>
      <t xml:space="preserve"> - This is only applicable to council maintained schools (i.e. not academies or free schools). Schools Forum have agreed to continue the de-delegation of funding for staff trade union duties. The figure shown is the amount that will be deducted from your schools baseline funding.</t>
    </r>
  </si>
  <si>
    <r>
      <t>Rates</t>
    </r>
    <r>
      <rPr>
        <sz val="10"/>
        <rFont val="Arial"/>
        <family val="2"/>
      </rPr>
      <t xml:space="preserve"> - This is made up two elements; an amount for estimated 2020-21 rates bills, and an adjustment for actual 2019-20 bills where we were able to obtain information. The figures for 2020-21 are estimates only, as final bills are not issued until March. The adjustment takes into account differences between last years estimate and now known figures. Any difference between 2020-21 estimates and actuals will be adjusted in the 2021-22 funding.  Academies do not receive funding in the GAG for rates, and claim in year for their bills, so the figures shown are purely for LA modelling purposes.</t>
    </r>
  </si>
  <si>
    <r>
      <t>Minimum Funding Guarantee Adjustment</t>
    </r>
    <r>
      <rPr>
        <sz val="10"/>
        <rFont val="Arial"/>
        <family val="2"/>
      </rPr>
      <t xml:space="preserve"> - The MFG is set at +0.5%. Effectively this ensures each school will gain, as a minimum, an increase of 0.5% per pupil funding when compared to the 2019-20 MFG Budget per pupil. The MFG percentage change indicates the impact on a schools funding, and the MFG Adjustment percentage reflects the difference between this and the assumption that each school should see an increase of 0.5% per pupil. Where the adjustment percentage figure is positive, the school will receive a MFG funding allocation, which is reflected in the MFG Adjustment row. Please note the total percentage difference year on year may be less than 0.5% as the MFG protects the per pupil amount, not pupil number variations.</t>
    </r>
  </si>
  <si>
    <r>
      <rPr>
        <b/>
        <sz val="10"/>
        <rFont val="Arial"/>
        <family val="2"/>
      </rPr>
      <t>EYSFF (universal hours)</t>
    </r>
    <r>
      <rPr>
        <sz val="10"/>
        <rFont val="Arial"/>
        <family val="2"/>
      </rPr>
      <t xml:space="preserve"> - This indicative funding has been based on the actual nursery numbers in the May 19, Oct 19, and Jan 20 census which is then multiplied by your hourly rate. The Early Years Funding Formula is unchanged from 2019-20 with a universal base rate (91%), deprivation rate (7%) and additional needs factor (2%) which targets those settings with higher than average IDACI scoring (the figure set is 0.25). The rates are as per 2019-20. The number of hours is an estimate and funding will be amended throughout the year based on actual uptake of the free entitlement.
</t>
    </r>
    <r>
      <rPr>
        <b/>
        <sz val="10"/>
        <rFont val="Arial"/>
        <family val="2"/>
      </rPr>
      <t xml:space="preserve">EYSFF (additional hours) - </t>
    </r>
    <r>
      <rPr>
        <sz val="10"/>
        <rFont val="Arial"/>
        <family val="2"/>
      </rPr>
      <t xml:space="preserve">If your school offered the additional 15 hours in 2019-20 then we have estimated full year funding for 2020-21. This estimate is based on the actual nursery numbers in the May 19, Oct 19, and Jan 20 census which is then multiplied by your hourly rate. This is an estimate and funding will be amended throughout the year based on actual uptake of the additional entitlement.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</si>
</sst>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0\ ;\(\$#,##0\)"/>
    <numFmt numFmtId="167" formatCode="_(&quot;£&quot;* #,##0.00_);_(&quot;£&quot;* \(#,##0.00\);_(&quot;£&quot;* &quot;-&quot;??_);_(@_)"/>
    <numFmt numFmtId="168" formatCode="_(* #,##0.00_);_(* \(#,##0.00\);_(* &quot;-&quot;??_);_(@_)"/>
    <numFmt numFmtId="169" formatCode="&quot;£&quot;#,##0"/>
    <numFmt numFmtId="170" formatCode="_-&quot;£&quot;* #,##0_-;\-&quot;£&quot;* #,##0_-;_-&quot;£&quot;* &quot;-&quot;??_-;_-@_-"/>
  </numFmts>
  <fonts count="45">
    <font>
      <sz val="10"/>
      <name val="Arial"/>
      <family val="0"/>
    </font>
    <font>
      <sz val="11"/>
      <color indexed="8"/>
      <name val="Calibri"/>
      <family val="2"/>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Arial"/>
      <family val="2"/>
    </font>
    <font>
      <b/>
      <u val="single"/>
      <sz val="14"/>
      <color indexed="24"/>
      <name val="Times New Roman"/>
      <family val="1"/>
    </font>
    <font>
      <b/>
      <sz val="10"/>
      <color indexed="1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24"/>
      <name val="Times New Roman"/>
      <family val="1"/>
    </font>
    <font>
      <b/>
      <sz val="10"/>
      <color indexed="24"/>
      <name val="Times New Roman"/>
      <family val="1"/>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u val="single"/>
      <sz val="10"/>
      <name val="Arial"/>
      <family val="2"/>
    </font>
    <font>
      <b/>
      <u val="single"/>
      <sz val="12"/>
      <name val="Arial"/>
      <family val="2"/>
    </font>
    <font>
      <b/>
      <sz val="12"/>
      <name val="Arial"/>
      <family val="2"/>
    </font>
    <font>
      <sz val="9"/>
      <name val="Arial"/>
      <family val="2"/>
    </font>
    <font>
      <b/>
      <u val="single"/>
      <sz val="14"/>
      <name val="Arial"/>
      <family val="2"/>
    </font>
    <font>
      <b/>
      <u val="single"/>
      <sz val="10"/>
      <name val="Arial"/>
      <family val="2"/>
    </font>
    <font>
      <sz val="8"/>
      <name val="MS Sans Serif"/>
      <family val="2"/>
    </font>
    <font>
      <sz val="12"/>
      <color indexed="8"/>
      <name val="Arial"/>
      <family val="2"/>
    </font>
    <font>
      <b/>
      <sz val="10"/>
      <color indexed="8"/>
      <name val="Arial"/>
      <family val="2"/>
    </font>
    <font>
      <sz val="10"/>
      <color indexed="8"/>
      <name val="Arial"/>
      <family val="2"/>
    </font>
    <font>
      <sz val="11"/>
      <name val="Arial"/>
      <family val="2"/>
    </font>
    <font>
      <b/>
      <u val="single"/>
      <sz val="16"/>
      <name val="Arial"/>
      <family val="2"/>
    </font>
    <font>
      <sz val="8"/>
      <name val="Segoe UI"/>
      <family val="2"/>
    </font>
    <font>
      <sz val="11"/>
      <color theme="1"/>
      <name val="Calibri"/>
      <family val="2"/>
    </font>
    <font>
      <sz val="12"/>
      <color theme="1"/>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22"/>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7" tint="0.3999499976634979"/>
        <bgColor indexed="64"/>
      </patternFill>
    </fill>
    <fill>
      <patternFill patternType="solid">
        <fgColor rgb="FF92D05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indexed="23"/>
      </top>
      <bottom style="medium">
        <color indexed="2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ck"/>
      <bottom style="double"/>
    </border>
    <border>
      <left/>
      <right/>
      <top style="thin"/>
      <bottom/>
    </border>
    <border>
      <left style="double"/>
      <right style="double"/>
      <top style="double"/>
      <bottom style="double"/>
    </border>
    <border>
      <left/>
      <right style="thick"/>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style="thin"/>
      <bottom style="double"/>
    </border>
    <border>
      <left style="thick"/>
      <right style="thick"/>
      <top style="thin"/>
      <bottom/>
    </border>
    <border>
      <left/>
      <right/>
      <top style="thin"/>
      <bottom style="thin"/>
    </border>
    <border>
      <left/>
      <right/>
      <top style="thin">
        <color indexed="62"/>
      </top>
      <bottom style="double">
        <color indexed="62"/>
      </bottom>
    </border>
    <border>
      <left style="medium"/>
      <right style="medium"/>
      <top/>
      <bottom style="medium"/>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bottom/>
    </border>
    <border>
      <left style="thin"/>
      <right/>
      <top style="thin"/>
      <bottom/>
    </border>
    <border>
      <left/>
      <right style="thin"/>
      <top/>
      <bottom style="thin"/>
    </border>
    <border>
      <left style="medium"/>
      <right style="thin"/>
      <top style="medium"/>
      <bottom style="thin"/>
    </border>
    <border>
      <left style="medium"/>
      <right/>
      <top/>
      <bottom/>
    </border>
    <border>
      <left/>
      <right style="medium"/>
      <top/>
      <bottom/>
    </border>
    <border>
      <left style="thin"/>
      <right style="medium"/>
      <top style="medium"/>
      <bottom style="thin"/>
    </border>
    <border>
      <left/>
      <right style="thin"/>
      <top style="thin"/>
      <bottom/>
    </border>
    <border>
      <left style="thin"/>
      <right/>
      <top/>
      <bottom style="thin"/>
    </border>
    <border>
      <left style="medium"/>
      <right style="thin"/>
      <top style="thin"/>
      <bottom/>
    </border>
    <border>
      <left style="medium"/>
      <right/>
      <top style="medium"/>
      <bottom/>
    </border>
    <border>
      <left/>
      <right style="medium"/>
      <top style="medium"/>
      <bottom/>
    </border>
    <border>
      <left style="thin"/>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medium"/>
    </border>
    <border>
      <left style="thin"/>
      <right style="thin"/>
      <top/>
      <bottom style="medium"/>
    </border>
    <border>
      <left style="thin"/>
      <right/>
      <top style="medium"/>
      <bottom style="medium"/>
    </border>
    <border>
      <left/>
      <right/>
      <top style="medium"/>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3" fontId="8" fillId="0" borderId="0" applyFont="0" applyFill="0" applyBorder="0" applyAlignment="0" applyProtection="0"/>
    <xf numFmtId="0" fontId="9" fillId="0" borderId="0" applyNumberFormat="0" applyFill="0" applyBorder="0" applyAlignment="0" applyProtection="0"/>
    <xf numFmtId="8" fontId="10" fillId="0" borderId="3"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167" fontId="0" fillId="0" borderId="0" applyFont="0" applyFill="0" applyBorder="0" applyAlignment="0" applyProtection="0"/>
    <xf numFmtId="44" fontId="42" fillId="0" borderId="0" applyFont="0" applyFill="0" applyBorder="0" applyAlignment="0" applyProtection="0"/>
    <xf numFmtId="167" fontId="0"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11" fillId="0" borderId="0" applyNumberFormat="0" applyFill="0" applyBorder="0" applyAlignment="0" applyProtection="0"/>
    <xf numFmtId="2" fontId="8" fillId="0" borderId="0" applyFon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2" fillId="0" borderId="0">
      <alignment horizontal="left" vertical="center"/>
      <protection/>
    </xf>
    <xf numFmtId="0" fontId="17" fillId="0" borderId="7" applyNumberFormat="0" applyFill="0" applyAlignment="0" applyProtection="0"/>
    <xf numFmtId="0" fontId="18"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5" fillId="0" borderId="0" applyAlignment="0">
      <protection locked="0"/>
    </xf>
    <xf numFmtId="0" fontId="0" fillId="0" borderId="0">
      <alignment/>
      <protection/>
    </xf>
    <xf numFmtId="0" fontId="0" fillId="0" borderId="0">
      <alignment/>
      <protection/>
    </xf>
    <xf numFmtId="0" fontId="43"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19" fillId="0" borderId="0">
      <alignment horizontal="right"/>
      <protection/>
    </xf>
    <xf numFmtId="3" fontId="19" fillId="0" borderId="8">
      <alignment/>
      <protection/>
    </xf>
    <xf numFmtId="3" fontId="19" fillId="0" borderId="9">
      <alignment/>
      <protection/>
    </xf>
    <xf numFmtId="0" fontId="20" fillId="0" borderId="0">
      <alignment horizontal="left"/>
      <protection/>
    </xf>
    <xf numFmtId="3" fontId="19" fillId="0" borderId="10">
      <alignment horizontal="right"/>
      <protection/>
    </xf>
    <xf numFmtId="3" fontId="19" fillId="0" borderId="11">
      <alignment/>
      <protection/>
    </xf>
    <xf numFmtId="0" fontId="0" fillId="23" borderId="12" applyNumberFormat="0" applyFont="0" applyAlignment="0" applyProtection="0"/>
    <xf numFmtId="3" fontId="2" fillId="0" borderId="0">
      <alignment horizontal="right"/>
      <protection/>
    </xf>
    <xf numFmtId="0" fontId="21" fillId="20" borderId="13" applyNumberFormat="0" applyAlignment="0" applyProtection="0"/>
    <xf numFmtId="40" fontId="22" fillId="24" borderId="0">
      <alignment horizontal="right"/>
      <protection/>
    </xf>
    <xf numFmtId="0" fontId="23" fillId="24" borderId="0">
      <alignment horizontal="right"/>
      <protection/>
    </xf>
    <xf numFmtId="0" fontId="24" fillId="24" borderId="14">
      <alignment/>
      <protection/>
    </xf>
    <xf numFmtId="0" fontId="24" fillId="0" borderId="0" applyBorder="0">
      <alignment horizontal="centerContinuous"/>
      <protection/>
    </xf>
    <xf numFmtId="0" fontId="25"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20" fillId="25" borderId="15">
      <alignment horizontal="right"/>
      <protection/>
    </xf>
    <xf numFmtId="3" fontId="20" fillId="25" borderId="8">
      <alignment/>
      <protection/>
    </xf>
    <xf numFmtId="3" fontId="19" fillId="25" borderId="0">
      <alignment horizontal="right"/>
      <protection/>
    </xf>
    <xf numFmtId="3" fontId="19" fillId="25" borderId="16">
      <alignment/>
      <protection/>
    </xf>
    <xf numFmtId="0" fontId="20" fillId="25" borderId="0">
      <alignment horizontal="right"/>
      <protection/>
    </xf>
    <xf numFmtId="3" fontId="20" fillId="25" borderId="17">
      <alignment/>
      <protection/>
    </xf>
    <xf numFmtId="0" fontId="26" fillId="0" borderId="0" applyNumberFormat="0" applyFill="0" applyBorder="0" applyAlignment="0" applyProtection="0"/>
    <xf numFmtId="0" fontId="27" fillId="0" borderId="18" applyNumberFormat="0" applyFill="0" applyAlignment="0" applyProtection="0"/>
    <xf numFmtId="0" fontId="28" fillId="0" borderId="0" applyNumberFormat="0" applyFill="0" applyBorder="0" applyAlignment="0" applyProtection="0"/>
  </cellStyleXfs>
  <cellXfs count="233">
    <xf numFmtId="0" fontId="0" fillId="0" borderId="0" xfId="0" applyAlignment="1">
      <alignment/>
    </xf>
    <xf numFmtId="44" fontId="0" fillId="0" borderId="0" xfId="55" applyFont="1" applyAlignment="1">
      <alignment/>
    </xf>
    <xf numFmtId="44" fontId="0" fillId="0" borderId="0" xfId="0" applyNumberFormat="1" applyAlignment="1">
      <alignment/>
    </xf>
    <xf numFmtId="0" fontId="3" fillId="0" borderId="0" xfId="0" applyFont="1" applyAlignment="1">
      <alignment/>
    </xf>
    <xf numFmtId="2" fontId="0" fillId="0" borderId="0" xfId="0" applyNumberFormat="1" applyAlignment="1">
      <alignment/>
    </xf>
    <xf numFmtId="0" fontId="3" fillId="0" borderId="0" xfId="0" applyFont="1" applyAlignment="1">
      <alignment wrapText="1"/>
    </xf>
    <xf numFmtId="164" fontId="0" fillId="0" borderId="0" xfId="0" applyNumberFormat="1" applyAlignment="1">
      <alignment/>
    </xf>
    <xf numFmtId="0" fontId="0" fillId="0" borderId="0" xfId="0" applyBorder="1" applyAlignment="1">
      <alignment/>
    </xf>
    <xf numFmtId="1" fontId="0" fillId="0" borderId="0" xfId="0" applyNumberFormat="1" applyAlignment="1">
      <alignment/>
    </xf>
    <xf numFmtId="0" fontId="3" fillId="0" borderId="19" xfId="0" applyFont="1" applyBorder="1" applyAlignment="1">
      <alignment/>
    </xf>
    <xf numFmtId="0" fontId="3" fillId="26" borderId="20" xfId="0" applyFont="1" applyFill="1" applyBorder="1" applyAlignment="1">
      <alignment/>
    </xf>
    <xf numFmtId="0" fontId="0" fillId="0" borderId="21" xfId="0" applyBorder="1" applyAlignment="1">
      <alignment/>
    </xf>
    <xf numFmtId="44" fontId="0" fillId="0" borderId="21" xfId="0" applyNumberFormat="1" applyBorder="1" applyAlignment="1">
      <alignment/>
    </xf>
    <xf numFmtId="164" fontId="0" fillId="0" borderId="21" xfId="0" applyNumberFormat="1" applyBorder="1" applyAlignment="1">
      <alignment/>
    </xf>
    <xf numFmtId="44" fontId="0" fillId="0" borderId="21" xfId="55" applyFont="1" applyBorder="1" applyAlignment="1">
      <alignment/>
    </xf>
    <xf numFmtId="0" fontId="0" fillId="0" borderId="22" xfId="0" applyBorder="1" applyAlignment="1">
      <alignment/>
    </xf>
    <xf numFmtId="44" fontId="0" fillId="0" borderId="22" xfId="0" applyNumberFormat="1" applyBorder="1" applyAlignment="1">
      <alignment/>
    </xf>
    <xf numFmtId="164" fontId="0" fillId="0" borderId="22" xfId="0" applyNumberFormat="1" applyBorder="1" applyAlignment="1">
      <alignment/>
    </xf>
    <xf numFmtId="44" fontId="0" fillId="0" borderId="22" xfId="55" applyFont="1" applyBorder="1" applyAlignment="1">
      <alignment/>
    </xf>
    <xf numFmtId="0" fontId="0" fillId="0" borderId="23" xfId="0" applyBorder="1" applyAlignment="1">
      <alignment/>
    </xf>
    <xf numFmtId="44" fontId="0" fillId="0" borderId="23" xfId="0" applyNumberFormat="1" applyBorder="1" applyAlignment="1">
      <alignment/>
    </xf>
    <xf numFmtId="164" fontId="0" fillId="0" borderId="23" xfId="0" applyNumberFormat="1" applyBorder="1" applyAlignment="1">
      <alignment/>
    </xf>
    <xf numFmtId="44" fontId="0" fillId="0" borderId="23" xfId="55" applyFont="1" applyBorder="1" applyAlignment="1">
      <alignment/>
    </xf>
    <xf numFmtId="0" fontId="3" fillId="0" borderId="23" xfId="0" applyFont="1" applyBorder="1" applyAlignment="1">
      <alignment/>
    </xf>
    <xf numFmtId="164" fontId="3" fillId="0" borderId="23" xfId="0" applyNumberFormat="1" applyFont="1" applyBorder="1" applyAlignment="1">
      <alignment/>
    </xf>
    <xf numFmtId="44" fontId="3" fillId="0" borderId="23" xfId="55" applyFont="1" applyBorder="1" applyAlignment="1">
      <alignment/>
    </xf>
    <xf numFmtId="0" fontId="3" fillId="0" borderId="24" xfId="0" applyFont="1" applyBorder="1" applyAlignment="1">
      <alignment/>
    </xf>
    <xf numFmtId="44" fontId="3" fillId="0" borderId="24" xfId="55" applyFont="1" applyBorder="1" applyAlignment="1">
      <alignment/>
    </xf>
    <xf numFmtId="10" fontId="0" fillId="0" borderId="22" xfId="103" applyNumberFormat="1" applyFont="1" applyBorder="1" applyAlignment="1">
      <alignment/>
    </xf>
    <xf numFmtId="0" fontId="0" fillId="20" borderId="24" xfId="0" applyFill="1" applyBorder="1" applyAlignment="1">
      <alignment/>
    </xf>
    <xf numFmtId="0" fontId="3" fillId="20" borderId="24" xfId="0" applyFont="1" applyFill="1" applyBorder="1" applyAlignment="1">
      <alignment/>
    </xf>
    <xf numFmtId="0" fontId="3" fillId="26" borderId="25" xfId="0" applyFont="1" applyFill="1" applyBorder="1" applyAlignment="1">
      <alignment/>
    </xf>
    <xf numFmtId="0" fontId="3" fillId="26" borderId="26" xfId="0" applyFont="1" applyFill="1" applyBorder="1" applyAlignment="1">
      <alignment/>
    </xf>
    <xf numFmtId="44" fontId="3" fillId="26" borderId="27" xfId="55" applyFont="1" applyFill="1" applyBorder="1" applyAlignment="1">
      <alignment/>
    </xf>
    <xf numFmtId="164" fontId="0" fillId="0" borderId="24" xfId="0" applyNumberFormat="1" applyBorder="1" applyAlignment="1">
      <alignment/>
    </xf>
    <xf numFmtId="0" fontId="0" fillId="0" borderId="0" xfId="0" applyAlignment="1">
      <alignment horizontal="left"/>
    </xf>
    <xf numFmtId="0" fontId="0" fillId="0" borderId="0" xfId="15">
      <alignment/>
      <protection/>
    </xf>
    <xf numFmtId="0" fontId="30" fillId="0" borderId="0" xfId="15" applyFont="1" applyAlignment="1">
      <alignment horizontal="left"/>
      <protection/>
    </xf>
    <xf numFmtId="0" fontId="3" fillId="0" borderId="0" xfId="15" applyFont="1">
      <alignment/>
      <protection/>
    </xf>
    <xf numFmtId="0" fontId="0" fillId="0" borderId="0" xfId="15" applyFont="1">
      <alignment/>
      <protection/>
    </xf>
    <xf numFmtId="0" fontId="29" fillId="0" borderId="0" xfId="15" applyFont="1">
      <alignment/>
      <protection/>
    </xf>
    <xf numFmtId="44" fontId="0" fillId="0" borderId="0" xfId="55" applyAlignment="1">
      <alignment/>
    </xf>
    <xf numFmtId="44" fontId="0" fillId="26" borderId="20" xfId="55" applyFill="1" applyBorder="1" applyAlignment="1">
      <alignment/>
    </xf>
    <xf numFmtId="165" fontId="0" fillId="26" borderId="20" xfId="55" applyNumberFormat="1" applyFill="1" applyBorder="1" applyAlignment="1">
      <alignment/>
    </xf>
    <xf numFmtId="44" fontId="0" fillId="0" borderId="24" xfId="55" applyBorder="1" applyAlignment="1">
      <alignment/>
    </xf>
    <xf numFmtId="0" fontId="3" fillId="0" borderId="0" xfId="15" applyFont="1" applyAlignment="1">
      <alignment horizontal="left"/>
      <protection/>
    </xf>
    <xf numFmtId="44" fontId="31" fillId="0" borderId="20" xfId="55" applyFont="1" applyBorder="1" applyAlignment="1">
      <alignment/>
    </xf>
    <xf numFmtId="0" fontId="3" fillId="0" borderId="25" xfId="15" applyFont="1" applyBorder="1">
      <alignment/>
      <protection/>
    </xf>
    <xf numFmtId="0" fontId="3" fillId="0" borderId="26" xfId="15" applyFont="1" applyBorder="1">
      <alignment/>
      <protection/>
    </xf>
    <xf numFmtId="0" fontId="3" fillId="20" borderId="24" xfId="0" applyFont="1" applyFill="1" applyBorder="1" applyAlignment="1">
      <alignment horizontal="left"/>
    </xf>
    <xf numFmtId="0" fontId="0" fillId="0" borderId="24" xfId="0" applyBorder="1" applyAlignment="1">
      <alignment horizontal="left" wrapText="1"/>
    </xf>
    <xf numFmtId="0" fontId="0" fillId="0" borderId="0" xfId="0" applyAlignment="1">
      <alignment horizontal="left" wrapText="1"/>
    </xf>
    <xf numFmtId="165" fontId="0" fillId="0" borderId="24" xfId="0" applyNumberFormat="1" applyBorder="1" applyAlignment="1">
      <alignment horizontal="left" wrapText="1"/>
    </xf>
    <xf numFmtId="0" fontId="0" fillId="0" borderId="0" xfId="0" applyAlignment="1">
      <alignment vertical="top"/>
    </xf>
    <xf numFmtId="0" fontId="3" fillId="0" borderId="0" xfId="0" applyFont="1" applyAlignment="1">
      <alignment vertical="top"/>
    </xf>
    <xf numFmtId="0" fontId="3" fillId="0" borderId="28" xfId="0" applyFont="1" applyBorder="1" applyAlignment="1">
      <alignment vertical="top"/>
    </xf>
    <xf numFmtId="0" fontId="3" fillId="0" borderId="29" xfId="0" applyFont="1" applyBorder="1" applyAlignment="1">
      <alignment vertical="top" wrapText="1"/>
    </xf>
    <xf numFmtId="0" fontId="3" fillId="0" borderId="30" xfId="0" applyFont="1" applyBorder="1" applyAlignment="1">
      <alignment vertical="top"/>
    </xf>
    <xf numFmtId="0" fontId="3" fillId="0" borderId="31" xfId="0" applyFont="1" applyBorder="1" applyAlignment="1">
      <alignment vertical="top" wrapText="1"/>
    </xf>
    <xf numFmtId="0" fontId="0" fillId="0" borderId="0" xfId="0" applyFill="1" applyBorder="1" applyAlignment="1">
      <alignment/>
    </xf>
    <xf numFmtId="0" fontId="32" fillId="0" borderId="0" xfId="15" applyFont="1" applyFill="1" applyBorder="1">
      <alignment/>
      <protection/>
    </xf>
    <xf numFmtId="0" fontId="32" fillId="0" borderId="0" xfId="15" applyFont="1" applyBorder="1">
      <alignment/>
      <protection/>
    </xf>
    <xf numFmtId="0" fontId="0" fillId="0" borderId="0" xfId="0" applyBorder="1" applyAlignment="1">
      <alignment vertical="top"/>
    </xf>
    <xf numFmtId="1" fontId="33" fillId="0" borderId="0" xfId="0" applyNumberFormat="1" applyFont="1" applyAlignment="1">
      <alignment/>
    </xf>
    <xf numFmtId="0" fontId="33" fillId="0" borderId="0" xfId="15" applyFont="1" applyAlignment="1">
      <alignment horizontal="left"/>
      <protection/>
    </xf>
    <xf numFmtId="0" fontId="33" fillId="0" borderId="0" xfId="0" applyFont="1" applyAlignment="1">
      <alignment/>
    </xf>
    <xf numFmtId="0" fontId="0" fillId="0" borderId="0" xfId="0" applyFont="1" applyBorder="1" applyAlignment="1">
      <alignment/>
    </xf>
    <xf numFmtId="0" fontId="31" fillId="0" borderId="0" xfId="0" applyFont="1" applyAlignment="1">
      <alignment vertical="top"/>
    </xf>
    <xf numFmtId="0" fontId="34" fillId="0" borderId="0" xfId="0" applyFont="1" applyAlignment="1">
      <alignment/>
    </xf>
    <xf numFmtId="0" fontId="0" fillId="0" borderId="32" xfId="0"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4" xfId="0" applyBorder="1" applyAlignment="1">
      <alignment horizontal="left"/>
    </xf>
    <xf numFmtId="0" fontId="0" fillId="0" borderId="33" xfId="0" applyBorder="1" applyAlignment="1">
      <alignment/>
    </xf>
    <xf numFmtId="0" fontId="0" fillId="0" borderId="14" xfId="0" applyBorder="1" applyAlignment="1">
      <alignment/>
    </xf>
    <xf numFmtId="0" fontId="0" fillId="0" borderId="34" xfId="0" applyBorder="1" applyAlignment="1">
      <alignment/>
    </xf>
    <xf numFmtId="0" fontId="3" fillId="0" borderId="35" xfId="0" applyFont="1" applyBorder="1" applyAlignment="1">
      <alignment vertical="top"/>
    </xf>
    <xf numFmtId="0" fontId="0" fillId="0" borderId="22" xfId="0" applyFont="1" applyBorder="1" applyAlignment="1">
      <alignment/>
    </xf>
    <xf numFmtId="0" fontId="0" fillId="0" borderId="23" xfId="0" applyFont="1" applyBorder="1" applyAlignment="1">
      <alignment/>
    </xf>
    <xf numFmtId="44" fontId="0" fillId="0" borderId="34" xfId="55" applyFont="1" applyBorder="1" applyAlignment="1">
      <alignment/>
    </xf>
    <xf numFmtId="44" fontId="0" fillId="0" borderId="0" xfId="0" applyNumberFormat="1" applyBorder="1" applyAlignment="1">
      <alignment/>
    </xf>
    <xf numFmtId="0" fontId="0" fillId="0" borderId="21" xfId="0" applyFont="1" applyBorder="1" applyAlignment="1">
      <alignment/>
    </xf>
    <xf numFmtId="0" fontId="3" fillId="0" borderId="36" xfId="0" applyFont="1" applyBorder="1" applyAlignment="1">
      <alignment vertical="top"/>
    </xf>
    <xf numFmtId="0" fontId="3" fillId="0" borderId="37" xfId="0" applyFont="1" applyBorder="1" applyAlignment="1">
      <alignment vertical="top" wrapText="1"/>
    </xf>
    <xf numFmtId="44" fontId="0" fillId="0" borderId="24" xfId="103" applyNumberFormat="1" applyFont="1" applyBorder="1" applyAlignment="1">
      <alignment/>
    </xf>
    <xf numFmtId="0" fontId="0" fillId="0" borderId="24" xfId="0" applyFont="1" applyFill="1" applyBorder="1" applyAlignment="1">
      <alignment/>
    </xf>
    <xf numFmtId="44" fontId="0" fillId="0" borderId="17" xfId="55" applyFont="1" applyBorder="1" applyAlignment="1">
      <alignment/>
    </xf>
    <xf numFmtId="0" fontId="0" fillId="0" borderId="0" xfId="0" applyAlignment="1">
      <alignment horizontal="center"/>
    </xf>
    <xf numFmtId="0" fontId="0" fillId="0" borderId="0" xfId="0" applyFont="1" applyAlignment="1">
      <alignment vertical="top"/>
    </xf>
    <xf numFmtId="0" fontId="0" fillId="0" borderId="0" xfId="0" applyFont="1" applyAlignment="1">
      <alignment/>
    </xf>
    <xf numFmtId="0" fontId="0" fillId="0" borderId="0" xfId="0" applyNumberFormat="1" applyBorder="1" applyAlignment="1">
      <alignment/>
    </xf>
    <xf numFmtId="0" fontId="44" fillId="0" borderId="38" xfId="0" applyFont="1" applyBorder="1" applyAlignment="1">
      <alignment vertical="top" wrapText="1"/>
    </xf>
    <xf numFmtId="0" fontId="0" fillId="0" borderId="38" xfId="0" applyFont="1" applyFill="1" applyBorder="1" applyAlignment="1">
      <alignment vertical="top" wrapText="1"/>
    </xf>
    <xf numFmtId="0" fontId="3" fillId="0" borderId="29" xfId="0" applyFont="1" applyFill="1" applyBorder="1" applyAlignment="1">
      <alignment vertical="top" wrapText="1"/>
    </xf>
    <xf numFmtId="0" fontId="3" fillId="0" borderId="31" xfId="0" applyFont="1" applyFill="1" applyBorder="1" applyAlignment="1">
      <alignment vertical="top" wrapText="1"/>
    </xf>
    <xf numFmtId="0" fontId="0" fillId="0" borderId="0" xfId="0" applyFont="1" applyBorder="1" applyAlignment="1">
      <alignment vertical="top"/>
    </xf>
    <xf numFmtId="0" fontId="0" fillId="0" borderId="32" xfId="0" applyFont="1" applyBorder="1" applyAlignment="1">
      <alignment/>
    </xf>
    <xf numFmtId="44" fontId="0" fillId="0" borderId="24" xfId="55" applyFill="1" applyBorder="1" applyAlignment="1">
      <alignment/>
    </xf>
    <xf numFmtId="0" fontId="3" fillId="0" borderId="25" xfId="0" applyFont="1" applyBorder="1" applyAlignment="1">
      <alignment vertical="top"/>
    </xf>
    <xf numFmtId="0" fontId="3" fillId="0" borderId="27" xfId="0" applyFont="1" applyBorder="1" applyAlignment="1">
      <alignment vertical="top" wrapText="1"/>
    </xf>
    <xf numFmtId="0" fontId="0" fillId="0" borderId="27" xfId="0" applyBorder="1" applyAlignment="1">
      <alignment vertical="top"/>
    </xf>
    <xf numFmtId="0" fontId="0" fillId="0" borderId="0" xfId="0" applyNumberFormat="1" applyFill="1" applyBorder="1" applyAlignment="1">
      <alignment/>
    </xf>
    <xf numFmtId="0" fontId="0" fillId="0" borderId="24" xfId="0" applyFont="1" applyBorder="1" applyAlignment="1">
      <alignment/>
    </xf>
    <xf numFmtId="44" fontId="0" fillId="0" borderId="24" xfId="55" applyFont="1" applyBorder="1" applyAlignment="1">
      <alignment/>
    </xf>
    <xf numFmtId="0" fontId="0" fillId="0" borderId="33" xfId="0" applyFont="1" applyBorder="1" applyAlignment="1">
      <alignment/>
    </xf>
    <xf numFmtId="44" fontId="0" fillId="0" borderId="39" xfId="55" applyFont="1" applyBorder="1" applyAlignment="1">
      <alignment/>
    </xf>
    <xf numFmtId="44" fontId="0" fillId="0" borderId="14" xfId="55" applyFont="1" applyBorder="1" applyAlignment="1">
      <alignment/>
    </xf>
    <xf numFmtId="0" fontId="0" fillId="0" borderId="40" xfId="0" applyFont="1" applyBorder="1" applyAlignment="1">
      <alignment/>
    </xf>
    <xf numFmtId="0" fontId="0" fillId="0" borderId="24" xfId="0" applyBorder="1" applyAlignment="1">
      <alignment/>
    </xf>
    <xf numFmtId="0" fontId="0" fillId="0" borderId="39" xfId="0"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3" fillId="0" borderId="41" xfId="0" applyFont="1" applyBorder="1" applyAlignment="1">
      <alignment vertical="top"/>
    </xf>
    <xf numFmtId="0" fontId="3" fillId="0" borderId="42" xfId="0" applyFont="1" applyBorder="1" applyAlignment="1">
      <alignment vertical="top"/>
    </xf>
    <xf numFmtId="0" fontId="0" fillId="0" borderId="43" xfId="0" applyBorder="1" applyAlignment="1">
      <alignment vertical="top"/>
    </xf>
    <xf numFmtId="0" fontId="0" fillId="0" borderId="38" xfId="0" applyFont="1" applyBorder="1" applyAlignment="1">
      <alignment vertical="top" wrapText="1"/>
    </xf>
    <xf numFmtId="0" fontId="0" fillId="0" borderId="29" xfId="0" applyFont="1" applyBorder="1" applyAlignment="1">
      <alignment vertical="top" wrapText="1"/>
    </xf>
    <xf numFmtId="0" fontId="3" fillId="0" borderId="28" xfId="0" applyFont="1" applyBorder="1" applyAlignment="1">
      <alignment horizontal="right" vertical="top"/>
    </xf>
    <xf numFmtId="169" fontId="0" fillId="27" borderId="20" xfId="15" applyNumberFormat="1" applyFill="1" applyBorder="1">
      <alignment/>
      <protection/>
    </xf>
    <xf numFmtId="0" fontId="0" fillId="0" borderId="40" xfId="0" applyBorder="1" applyAlignment="1">
      <alignment/>
    </xf>
    <xf numFmtId="0" fontId="32" fillId="0" borderId="24" xfId="15" applyFont="1" applyBorder="1">
      <alignment/>
      <protection/>
    </xf>
    <xf numFmtId="0" fontId="32" fillId="0" borderId="24" xfId="15" applyFont="1" applyFill="1" applyBorder="1">
      <alignment/>
      <protection/>
    </xf>
    <xf numFmtId="0" fontId="0" fillId="0" borderId="24" xfId="0" applyFont="1" applyFill="1" applyBorder="1" applyAlignment="1">
      <alignment/>
    </xf>
    <xf numFmtId="44" fontId="0" fillId="0" borderId="24" xfId="0" applyNumberFormat="1" applyBorder="1" applyAlignment="1">
      <alignment/>
    </xf>
    <xf numFmtId="44" fontId="0" fillId="0" borderId="24" xfId="55" applyFont="1" applyFill="1" applyBorder="1" applyAlignment="1">
      <alignment/>
    </xf>
    <xf numFmtId="170" fontId="0" fillId="0" borderId="24" xfId="55" applyNumberFormat="1" applyFont="1" applyBorder="1" applyAlignment="1">
      <alignment/>
    </xf>
    <xf numFmtId="44" fontId="0" fillId="0" borderId="38" xfId="0" applyNumberFormat="1" applyBorder="1" applyAlignment="1">
      <alignment/>
    </xf>
    <xf numFmtId="44" fontId="0" fillId="0" borderId="29" xfId="0" applyNumberFormat="1" applyBorder="1" applyAlignment="1">
      <alignment/>
    </xf>
    <xf numFmtId="44" fontId="0" fillId="0" borderId="44" xfId="55" applyFont="1" applyBorder="1" applyAlignment="1">
      <alignment/>
    </xf>
    <xf numFmtId="44" fontId="0" fillId="0" borderId="31" xfId="0" applyNumberFormat="1" applyBorder="1" applyAlignment="1">
      <alignment/>
    </xf>
    <xf numFmtId="44" fontId="0" fillId="0" borderId="35" xfId="0" applyNumberFormat="1" applyBorder="1" applyAlignment="1">
      <alignment/>
    </xf>
    <xf numFmtId="44" fontId="0" fillId="0" borderId="45" xfId="0" applyNumberFormat="1" applyBorder="1" applyAlignment="1">
      <alignment/>
    </xf>
    <xf numFmtId="44" fontId="0" fillId="0" borderId="44" xfId="0" applyNumberFormat="1" applyBorder="1" applyAlignment="1">
      <alignment/>
    </xf>
    <xf numFmtId="0" fontId="0" fillId="0" borderId="45" xfId="0" applyFont="1" applyBorder="1" applyAlignment="1">
      <alignment/>
    </xf>
    <xf numFmtId="2" fontId="3" fillId="20" borderId="42" xfId="0" applyNumberFormat="1" applyFont="1" applyFill="1" applyBorder="1" applyAlignment="1">
      <alignment wrapText="1"/>
    </xf>
    <xf numFmtId="2" fontId="3" fillId="20" borderId="46" xfId="0" applyNumberFormat="1" applyFont="1" applyFill="1" applyBorder="1" applyAlignment="1">
      <alignment wrapText="1"/>
    </xf>
    <xf numFmtId="0" fontId="3" fillId="26" borderId="47" xfId="0" applyFont="1" applyFill="1" applyBorder="1" applyAlignment="1">
      <alignment wrapText="1"/>
    </xf>
    <xf numFmtId="2" fontId="0" fillId="0" borderId="0" xfId="0" applyNumberFormat="1" applyAlignment="1">
      <alignment horizontal="center" vertical="center"/>
    </xf>
    <xf numFmtId="8" fontId="3" fillId="4" borderId="48" xfId="55" applyNumberFormat="1" applyFont="1" applyFill="1" applyBorder="1" applyAlignment="1">
      <alignment horizontal="center" vertical="center"/>
    </xf>
    <xf numFmtId="44" fontId="3" fillId="4" borderId="49" xfId="55" applyFont="1" applyFill="1" applyBorder="1" applyAlignment="1">
      <alignment horizontal="center" vertical="center"/>
    </xf>
    <xf numFmtId="44" fontId="0" fillId="4" borderId="49" xfId="55" applyFont="1" applyFill="1" applyBorder="1" applyAlignment="1">
      <alignment horizontal="center" vertical="center"/>
    </xf>
    <xf numFmtId="0" fontId="0" fillId="4" borderId="49" xfId="0" applyFill="1" applyBorder="1" applyAlignment="1">
      <alignment horizontal="center" vertical="center"/>
    </xf>
    <xf numFmtId="44" fontId="0" fillId="4" borderId="49" xfId="0" applyNumberFormat="1" applyFill="1" applyBorder="1" applyAlignment="1">
      <alignment horizontal="center" vertical="center"/>
    </xf>
    <xf numFmtId="10" fontId="0" fillId="4" borderId="49" xfId="103" applyNumberFormat="1" applyFont="1" applyFill="1" applyBorder="1" applyAlignment="1">
      <alignment horizontal="center" vertical="center"/>
    </xf>
    <xf numFmtId="0" fontId="0" fillId="28" borderId="49" xfId="0" applyFont="1" applyFill="1" applyBorder="1" applyAlignment="1">
      <alignment horizontal="center" vertical="center"/>
    </xf>
    <xf numFmtId="0" fontId="3" fillId="26" borderId="50" xfId="0" applyFont="1" applyFill="1" applyBorder="1" applyAlignment="1">
      <alignment horizontal="center" vertical="center"/>
    </xf>
    <xf numFmtId="0" fontId="3" fillId="28" borderId="47" xfId="0" applyFont="1" applyFill="1" applyBorder="1" applyAlignment="1">
      <alignment horizontal="center" vertical="center" wrapText="1"/>
    </xf>
    <xf numFmtId="44" fontId="3" fillId="4" borderId="47" xfId="55" applyFont="1" applyFill="1" applyBorder="1" applyAlignment="1">
      <alignment horizontal="center" vertical="center" wrapText="1"/>
    </xf>
    <xf numFmtId="0" fontId="3" fillId="4" borderId="47" xfId="0" applyFont="1" applyFill="1" applyBorder="1" applyAlignment="1">
      <alignment horizontal="center" vertical="center" wrapText="1"/>
    </xf>
    <xf numFmtId="10" fontId="3" fillId="4" borderId="47" xfId="103" applyNumberFormat="1" applyFont="1" applyFill="1" applyBorder="1" applyAlignment="1">
      <alignment horizontal="center" vertical="center" wrapText="1"/>
    </xf>
    <xf numFmtId="0" fontId="3" fillId="26" borderId="51" xfId="0" applyFont="1" applyFill="1" applyBorder="1" applyAlignment="1">
      <alignment horizontal="center" vertical="center" wrapText="1"/>
    </xf>
    <xf numFmtId="44" fontId="0" fillId="0" borderId="23" xfId="55" applyNumberFormat="1" applyFont="1" applyBorder="1" applyAlignment="1">
      <alignment horizontal="center" vertical="center"/>
    </xf>
    <xf numFmtId="44" fontId="0" fillId="0" borderId="24" xfId="55" applyNumberFormat="1" applyFont="1" applyBorder="1" applyAlignment="1">
      <alignment horizontal="center" vertical="center"/>
    </xf>
    <xf numFmtId="44" fontId="0" fillId="0" borderId="24" xfId="55" applyNumberFormat="1" applyFont="1" applyBorder="1" applyAlignment="1">
      <alignment horizontal="center" vertical="center"/>
    </xf>
    <xf numFmtId="44" fontId="0" fillId="0" borderId="24" xfId="0" applyNumberFormat="1" applyFill="1" applyBorder="1" applyAlignment="1">
      <alignment horizontal="center" vertical="center"/>
    </xf>
    <xf numFmtId="10" fontId="0" fillId="0" borderId="24" xfId="0" applyNumberFormat="1" applyFill="1" applyBorder="1" applyAlignment="1">
      <alignment horizontal="center" vertical="center"/>
    </xf>
    <xf numFmtId="44" fontId="0" fillId="28" borderId="24" xfId="55" applyNumberFormat="1" applyFont="1" applyFill="1" applyBorder="1" applyAlignment="1">
      <alignment horizontal="center" vertical="center"/>
    </xf>
    <xf numFmtId="44" fontId="0" fillId="0" borderId="29" xfId="55" applyNumberFormat="1" applyFont="1" applyBorder="1" applyAlignment="1">
      <alignment horizontal="center" vertical="center"/>
    </xf>
    <xf numFmtId="44" fontId="0" fillId="0" borderId="44" xfId="55" applyNumberFormat="1" applyFont="1" applyBorder="1" applyAlignment="1">
      <alignment horizontal="center" vertical="center"/>
    </xf>
    <xf numFmtId="44" fontId="0" fillId="0" borderId="44" xfId="55" applyNumberFormat="1" applyFont="1" applyBorder="1" applyAlignment="1">
      <alignment horizontal="center" vertical="center"/>
    </xf>
    <xf numFmtId="44" fontId="0" fillId="0" borderId="44" xfId="0" applyNumberFormat="1" applyFill="1" applyBorder="1" applyAlignment="1">
      <alignment horizontal="center" vertical="center"/>
    </xf>
    <xf numFmtId="10" fontId="0" fillId="0" borderId="44" xfId="0" applyNumberFormat="1" applyFill="1" applyBorder="1" applyAlignment="1">
      <alignment horizontal="center" vertical="center"/>
    </xf>
    <xf numFmtId="44" fontId="0" fillId="28" borderId="44" xfId="55" applyNumberFormat="1" applyFont="1" applyFill="1" applyBorder="1" applyAlignment="1">
      <alignment horizontal="center" vertical="center"/>
    </xf>
    <xf numFmtId="44" fontId="0" fillId="0" borderId="31" xfId="55" applyNumberFormat="1" applyFont="1" applyBorder="1" applyAlignment="1">
      <alignment horizontal="center" vertical="center"/>
    </xf>
    <xf numFmtId="0" fontId="0" fillId="0" borderId="0" xfId="0" applyAlignment="1">
      <alignment horizontal="center" vertical="center"/>
    </xf>
    <xf numFmtId="44" fontId="0" fillId="0" borderId="0" xfId="55" applyFont="1" applyAlignment="1">
      <alignment horizontal="center" vertical="center"/>
    </xf>
    <xf numFmtId="0" fontId="0" fillId="0" borderId="0" xfId="0" applyFill="1" applyAlignment="1">
      <alignment horizontal="center" vertical="center"/>
    </xf>
    <xf numFmtId="10" fontId="0" fillId="0" borderId="0" xfId="103" applyNumberFormat="1" applyFont="1" applyAlignment="1">
      <alignment horizontal="center" vertical="center"/>
    </xf>
    <xf numFmtId="44" fontId="0" fillId="0" borderId="0" xfId="55" applyFont="1" applyAlignment="1">
      <alignment horizontal="center" vertical="center"/>
    </xf>
    <xf numFmtId="44" fontId="3" fillId="0" borderId="0" xfId="55"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44" fontId="0" fillId="0" borderId="0" xfId="0" applyNumberFormat="1" applyAlignment="1">
      <alignment horizontal="center" vertical="center"/>
    </xf>
    <xf numFmtId="10" fontId="2" fillId="0" borderId="0" xfId="103" applyNumberFormat="1" applyFont="1" applyFill="1" applyAlignment="1" applyProtection="1">
      <alignment horizontal="center" vertical="center"/>
      <protection/>
    </xf>
    <xf numFmtId="44" fontId="0" fillId="0" borderId="45" xfId="55" applyNumberFormat="1" applyFont="1" applyBorder="1" applyAlignment="1">
      <alignment horizontal="center" vertical="center"/>
    </xf>
    <xf numFmtId="44" fontId="0" fillId="0" borderId="45" xfId="55" applyNumberFormat="1" applyFont="1" applyBorder="1" applyAlignment="1">
      <alignment horizontal="center" vertical="center"/>
    </xf>
    <xf numFmtId="44" fontId="0" fillId="0" borderId="45" xfId="0" applyNumberFormat="1" applyFill="1" applyBorder="1" applyAlignment="1">
      <alignment horizontal="center" vertical="center"/>
    </xf>
    <xf numFmtId="10" fontId="0" fillId="0" borderId="45" xfId="0" applyNumberFormat="1" applyFill="1" applyBorder="1" applyAlignment="1">
      <alignment horizontal="center" vertical="center"/>
    </xf>
    <xf numFmtId="44" fontId="0" fillId="28" borderId="45" xfId="55" applyNumberFormat="1" applyFont="1" applyFill="1" applyBorder="1" applyAlignment="1">
      <alignment horizontal="center" vertical="center"/>
    </xf>
    <xf numFmtId="44" fontId="0" fillId="0" borderId="38" xfId="55" applyNumberFormat="1" applyFont="1" applyBorder="1" applyAlignment="1">
      <alignment horizontal="center" vertical="center"/>
    </xf>
    <xf numFmtId="44" fontId="0" fillId="0" borderId="52" xfId="55" applyNumberFormat="1" applyFont="1" applyBorder="1" applyAlignment="1">
      <alignment horizontal="center" vertical="center"/>
    </xf>
    <xf numFmtId="1" fontId="0" fillId="0" borderId="0" xfId="0" applyNumberFormat="1" applyFont="1" applyAlignment="1">
      <alignment/>
    </xf>
    <xf numFmtId="1" fontId="0" fillId="0" borderId="0" xfId="0" applyNumberFormat="1" applyFont="1" applyAlignment="1">
      <alignment horizontal="center" vertical="center"/>
    </xf>
    <xf numFmtId="2" fontId="0" fillId="0" borderId="0" xfId="0" applyNumberFormat="1" applyFont="1" applyAlignment="1">
      <alignment/>
    </xf>
    <xf numFmtId="2" fontId="0" fillId="0" borderId="0" xfId="0" applyNumberFormat="1" applyFont="1" applyAlignment="1">
      <alignment horizontal="center" vertical="center"/>
    </xf>
    <xf numFmtId="0" fontId="0" fillId="0" borderId="0" xfId="0" applyNumberFormat="1" applyFont="1" applyAlignment="1">
      <alignment/>
    </xf>
    <xf numFmtId="0" fontId="0" fillId="0" borderId="35" xfId="0" applyNumberFormat="1" applyFont="1" applyBorder="1" applyAlignment="1">
      <alignment/>
    </xf>
    <xf numFmtId="4" fontId="39" fillId="0" borderId="45" xfId="0" applyNumberFormat="1" applyFont="1" applyFill="1" applyBorder="1" applyAlignment="1" applyProtection="1">
      <alignment horizontal="center" vertical="center"/>
      <protection/>
    </xf>
    <xf numFmtId="0" fontId="0" fillId="0" borderId="28" xfId="0" applyNumberFormat="1" applyFont="1" applyBorder="1" applyAlignment="1">
      <alignment/>
    </xf>
    <xf numFmtId="4" fontId="39" fillId="0" borderId="24" xfId="0" applyNumberFormat="1" applyFont="1" applyFill="1" applyBorder="1" applyAlignment="1" applyProtection="1">
      <alignment horizontal="center" vertical="center"/>
      <protection/>
    </xf>
    <xf numFmtId="1" fontId="0" fillId="0" borderId="28" xfId="0" applyNumberFormat="1" applyFont="1" applyBorder="1" applyAlignment="1">
      <alignment/>
    </xf>
    <xf numFmtId="0" fontId="0" fillId="0" borderId="30" xfId="0" applyNumberFormat="1" applyFont="1" applyBorder="1" applyAlignment="1">
      <alignment/>
    </xf>
    <xf numFmtId="0" fontId="0" fillId="0" borderId="44" xfId="0" applyFont="1" applyBorder="1" applyAlignment="1">
      <alignment/>
    </xf>
    <xf numFmtId="4" fontId="39" fillId="0" borderId="44" xfId="0" applyNumberFormat="1" applyFont="1" applyFill="1" applyBorder="1" applyAlignment="1" applyProtection="1">
      <alignment horizontal="center" vertical="center"/>
      <protection/>
    </xf>
    <xf numFmtId="164" fontId="0" fillId="0" borderId="0" xfId="0" applyNumberFormat="1" applyFont="1" applyAlignment="1">
      <alignment horizontal="center" vertical="center"/>
    </xf>
    <xf numFmtId="0" fontId="0" fillId="0" borderId="0" xfId="0" applyFont="1" applyBorder="1" applyAlignment="1">
      <alignment horizontal="center" vertical="center"/>
    </xf>
    <xf numFmtId="44" fontId="3" fillId="29" borderId="48" xfId="55" applyFont="1" applyFill="1" applyBorder="1" applyAlignment="1">
      <alignment wrapText="1"/>
    </xf>
    <xf numFmtId="0" fontId="3" fillId="29" borderId="49" xfId="0" applyFont="1" applyFill="1" applyBorder="1" applyAlignment="1">
      <alignment wrapText="1"/>
    </xf>
    <xf numFmtId="44" fontId="3" fillId="29" borderId="49" xfId="55" applyFont="1" applyFill="1" applyBorder="1" applyAlignment="1">
      <alignment wrapText="1"/>
    </xf>
    <xf numFmtId="0" fontId="3" fillId="29" borderId="50" xfId="0" applyFont="1" applyFill="1" applyBorder="1" applyAlignment="1">
      <alignment wrapText="1"/>
    </xf>
    <xf numFmtId="44" fontId="0" fillId="0" borderId="28" xfId="0" applyNumberFormat="1" applyBorder="1" applyAlignment="1">
      <alignment/>
    </xf>
    <xf numFmtId="44" fontId="0" fillId="0" borderId="30" xfId="0" applyNumberFormat="1" applyBorder="1" applyAlignment="1">
      <alignment/>
    </xf>
    <xf numFmtId="0" fontId="3" fillId="30" borderId="48" xfId="0" applyFont="1" applyFill="1" applyBorder="1" applyAlignment="1">
      <alignment wrapText="1"/>
    </xf>
    <xf numFmtId="0" fontId="3" fillId="30" borderId="49" xfId="0" applyFont="1" applyFill="1" applyBorder="1" applyAlignment="1">
      <alignment wrapText="1"/>
    </xf>
    <xf numFmtId="0" fontId="3" fillId="30" borderId="50" xfId="0" applyFont="1" applyFill="1" applyBorder="1" applyAlignment="1">
      <alignment wrapText="1"/>
    </xf>
    <xf numFmtId="44" fontId="0" fillId="0" borderId="45" xfId="55" applyFont="1" applyBorder="1" applyAlignment="1">
      <alignment/>
    </xf>
    <xf numFmtId="0" fontId="40" fillId="0" borderId="0" xfId="0" applyFont="1" applyAlignment="1">
      <alignment/>
    </xf>
    <xf numFmtId="42" fontId="0" fillId="0" borderId="35" xfId="0" applyNumberFormat="1" applyBorder="1" applyAlignment="1">
      <alignment/>
    </xf>
    <xf numFmtId="42" fontId="0" fillId="0" borderId="28" xfId="55" applyNumberFormat="1" applyFont="1" applyBorder="1" applyAlignment="1">
      <alignment/>
    </xf>
    <xf numFmtId="42" fontId="0" fillId="0" borderId="30" xfId="55" applyNumberFormat="1" applyFont="1" applyBorder="1" applyAlignment="1">
      <alignment/>
    </xf>
    <xf numFmtId="42" fontId="0" fillId="0" borderId="45" xfId="55" applyNumberFormat="1" applyFont="1" applyBorder="1" applyAlignment="1">
      <alignment/>
    </xf>
    <xf numFmtId="42" fontId="0" fillId="0" borderId="24" xfId="55" applyNumberFormat="1" applyFont="1" applyBorder="1" applyAlignment="1">
      <alignment/>
    </xf>
    <xf numFmtId="7" fontId="0" fillId="0" borderId="0" xfId="55" applyNumberFormat="1" applyAlignment="1">
      <alignment/>
    </xf>
    <xf numFmtId="42" fontId="3" fillId="0" borderId="0" xfId="0" applyNumberFormat="1" applyFont="1" applyAlignment="1">
      <alignment/>
    </xf>
    <xf numFmtId="42" fontId="3" fillId="0" borderId="46" xfId="55" applyNumberFormat="1" applyFont="1" applyBorder="1" applyAlignment="1">
      <alignment horizontal="center" vertical="center"/>
    </xf>
    <xf numFmtId="42" fontId="3" fillId="0" borderId="47" xfId="55" applyNumberFormat="1" applyFont="1" applyBorder="1" applyAlignment="1">
      <alignment horizontal="center" vertical="center"/>
    </xf>
    <xf numFmtId="42" fontId="3" fillId="0" borderId="51" xfId="55" applyNumberFormat="1" applyFont="1" applyBorder="1" applyAlignment="1">
      <alignment horizontal="center" vertical="center"/>
    </xf>
    <xf numFmtId="42" fontId="3" fillId="0" borderId="25" xfId="55" applyNumberFormat="1" applyFont="1" applyBorder="1" applyAlignment="1">
      <alignment/>
    </xf>
    <xf numFmtId="42" fontId="3" fillId="0" borderId="26" xfId="55" applyNumberFormat="1" applyFont="1" applyBorder="1" applyAlignment="1">
      <alignment/>
    </xf>
    <xf numFmtId="42" fontId="3" fillId="0" borderId="53" xfId="55" applyNumberFormat="1" applyFont="1" applyBorder="1" applyAlignment="1">
      <alignment/>
    </xf>
    <xf numFmtId="42" fontId="3" fillId="0" borderId="47" xfId="55" applyNumberFormat="1" applyFont="1" applyBorder="1" applyAlignment="1">
      <alignment/>
    </xf>
    <xf numFmtId="42" fontId="3" fillId="0" borderId="27" xfId="55" applyNumberFormat="1" applyFont="1" applyBorder="1" applyAlignment="1">
      <alignment/>
    </xf>
    <xf numFmtId="42" fontId="3" fillId="0" borderId="46" xfId="0" applyNumberFormat="1" applyFont="1" applyBorder="1" applyAlignment="1">
      <alignment/>
    </xf>
    <xf numFmtId="42" fontId="3" fillId="0" borderId="47" xfId="0" applyNumberFormat="1" applyFont="1" applyBorder="1" applyAlignment="1">
      <alignment/>
    </xf>
    <xf numFmtId="42" fontId="3" fillId="0" borderId="51" xfId="0" applyNumberFormat="1" applyFont="1" applyBorder="1" applyAlignment="1">
      <alignment/>
    </xf>
    <xf numFmtId="44" fontId="3" fillId="28" borderId="42" xfId="55" applyFont="1" applyFill="1" applyBorder="1" applyAlignment="1">
      <alignment horizontal="center" vertical="center"/>
    </xf>
    <xf numFmtId="44" fontId="3" fillId="28" borderId="54" xfId="55" applyFont="1" applyFill="1" applyBorder="1" applyAlignment="1">
      <alignment horizontal="center" vertical="center"/>
    </xf>
    <xf numFmtId="44" fontId="3" fillId="0" borderId="42" xfId="55" applyFont="1" applyFill="1" applyBorder="1" applyAlignment="1">
      <alignment horizontal="center"/>
    </xf>
    <xf numFmtId="44" fontId="3" fillId="0" borderId="54" xfId="55" applyFont="1" applyFill="1" applyBorder="1" applyAlignment="1">
      <alignment horizontal="center"/>
    </xf>
    <xf numFmtId="44" fontId="3" fillId="0" borderId="43" xfId="55" applyFont="1"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cellXfs>
  <cellStyles count="101">
    <cellStyle name="Normal" xfId="0"/>
    <cellStyle name="%" xfId="15"/>
    <cellStyle name="]&#13;&#10;Zoomed=1&#13;&#10;Row=0&#13;&#10;Column=0&#13;&#10;Height=0&#13;&#10;Width=0&#13;&#10;FontName=FoxFont&#13;&#10;FontStyle=0&#13;&#10;FontSize=9&#13;&#10;PrtFontName=FoxPrin"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omma 3" xfId="48"/>
    <cellStyle name="Comma 3 2" xfId="49"/>
    <cellStyle name="Comma 4" xfId="50"/>
    <cellStyle name="Comma 5" xfId="51"/>
    <cellStyle name="Comma0" xfId="52"/>
    <cellStyle name="Contents" xfId="53"/>
    <cellStyle name="CURR" xfId="54"/>
    <cellStyle name="Currency" xfId="55"/>
    <cellStyle name="Currency [0]" xfId="56"/>
    <cellStyle name="Currency 2" xfId="57"/>
    <cellStyle name="Currency 2 2" xfId="58"/>
    <cellStyle name="Currency 3" xfId="59"/>
    <cellStyle name="Currency 3 2" xfId="60"/>
    <cellStyle name="Currency 4" xfId="61"/>
    <cellStyle name="Currency 5" xfId="62"/>
    <cellStyle name="Currency0" xfId="63"/>
    <cellStyle name="Date" xfId="64"/>
    <cellStyle name="Explanatory Text" xfId="65"/>
    <cellStyle name="Fixed" xfId="66"/>
    <cellStyle name="Good" xfId="67"/>
    <cellStyle name="Heading 1" xfId="68"/>
    <cellStyle name="Heading 2" xfId="69"/>
    <cellStyle name="Heading 3" xfId="70"/>
    <cellStyle name="Heading 4" xfId="71"/>
    <cellStyle name="Input" xfId="72"/>
    <cellStyle name="LEAName" xfId="73"/>
    <cellStyle name="Linked Cell" xfId="74"/>
    <cellStyle name="Neutral" xfId="75"/>
    <cellStyle name="Normal 2" xfId="76"/>
    <cellStyle name="Normal 2 2" xfId="77"/>
    <cellStyle name="Normal 2 3" xfId="78"/>
    <cellStyle name="Normal 2 4" xfId="79"/>
    <cellStyle name="Normal 2 5" xfId="80"/>
    <cellStyle name="Normal 3" xfId="81"/>
    <cellStyle name="Normal 3 2" xfId="82"/>
    <cellStyle name="Normal 3 3" xfId="83"/>
    <cellStyle name="Normal 4" xfId="84"/>
    <cellStyle name="Normal 4 2" xfId="85"/>
    <cellStyle name="Normal 5" xfId="86"/>
    <cellStyle name="Normal 6" xfId="87"/>
    <cellStyle name="Normal 7" xfId="88"/>
    <cellStyle name="Normaltext" xfId="89"/>
    <cellStyle name="Normgrndtot" xfId="90"/>
    <cellStyle name="Normsubtotal" xfId="91"/>
    <cellStyle name="Normtextbold" xfId="92"/>
    <cellStyle name="Normtinteger" xfId="93"/>
    <cellStyle name="Normtotal" xfId="94"/>
    <cellStyle name="Note" xfId="95"/>
    <cellStyle name="Number" xfId="96"/>
    <cellStyle name="Output" xfId="97"/>
    <cellStyle name="Output Amounts" xfId="98"/>
    <cellStyle name="Output Column Headings" xfId="99"/>
    <cellStyle name="Output Line Items" xfId="100"/>
    <cellStyle name="Output Report Heading" xfId="101"/>
    <cellStyle name="Output Report Title" xfId="102"/>
    <cellStyle name="Percent" xfId="103"/>
    <cellStyle name="Percent 2" xfId="104"/>
    <cellStyle name="Percent 2 2" xfId="105"/>
    <cellStyle name="sdso" xfId="106"/>
    <cellStyle name="Shadgrndtot" xfId="107"/>
    <cellStyle name="Shadinteger" xfId="108"/>
    <cellStyle name="Shadsubtotal" xfId="109"/>
    <cellStyle name="Shadtext" xfId="110"/>
    <cellStyle name="Shadtotal" xfId="111"/>
    <cellStyle name="Title" xfId="112"/>
    <cellStyle name="Total" xfId="113"/>
    <cellStyle name="Warning Text" xfId="11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nance\Fininfo\Estimates\Estimates%202020-21\Schools\Send%20Out%20-%20Under%20Contruction\202021_P2_APT_312_Hillingdon%20(0%%20transfer)Unprotec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Finance\Fininfo\Estimates\Estimates%202013-14\Schools%20Budgets\Final%20Budget%202013%2014\Hillingdon%20Schools%20Budget%202013%2014%20Final%20Version%20Revised%2025.2.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Finance\Fininfo\Estimates\Estimates%202014-15\School%20Budgets\Modelling%20Tool%20(APT)\Final%20submission\Hillingdon%20312%20Final%20APT%20Submission%2021.1.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s>
    <sheetDataSet>
      <sheetData sheetId="12">
        <row r="9">
          <cell r="D9">
            <v>3750</v>
          </cell>
          <cell r="E9">
            <v>4800</v>
          </cell>
          <cell r="G9">
            <v>5300</v>
          </cell>
        </row>
        <row r="14">
          <cell r="E14">
            <v>3437.276124188456</v>
          </cell>
        </row>
        <row r="15">
          <cell r="E15">
            <v>4456.975540942774</v>
          </cell>
        </row>
        <row r="16">
          <cell r="E16">
            <v>5093.683155319178</v>
          </cell>
        </row>
        <row r="19">
          <cell r="E19">
            <v>1031.14</v>
          </cell>
          <cell r="F19">
            <v>1340.48</v>
          </cell>
        </row>
        <row r="20">
          <cell r="E20">
            <v>67.4024</v>
          </cell>
          <cell r="F20">
            <v>87.62312</v>
          </cell>
        </row>
        <row r="21">
          <cell r="E21">
            <v>134.8048</v>
          </cell>
          <cell r="F21">
            <v>175.24624</v>
          </cell>
        </row>
        <row r="22">
          <cell r="E22">
            <v>202.2072</v>
          </cell>
          <cell r="F22">
            <v>262.86936000000003</v>
          </cell>
        </row>
        <row r="23">
          <cell r="F23">
            <v>350.4916037688</v>
          </cell>
        </row>
        <row r="24">
          <cell r="E24">
            <v>337.01115747</v>
          </cell>
          <cell r="F24">
            <v>438.114504711</v>
          </cell>
        </row>
        <row r="25">
          <cell r="E25">
            <v>404.413388964</v>
          </cell>
          <cell r="F25">
            <v>525.7374056532</v>
          </cell>
        </row>
        <row r="27">
          <cell r="E27">
            <v>0</v>
          </cell>
        </row>
        <row r="28">
          <cell r="D28" t="str">
            <v>EAL 3 Primary</v>
          </cell>
          <cell r="E28">
            <v>768.64</v>
          </cell>
        </row>
        <row r="29">
          <cell r="D29" t="str">
            <v>EAL 3 Secondary</v>
          </cell>
          <cell r="F29">
            <v>1158.19</v>
          </cell>
        </row>
        <row r="30">
          <cell r="E30">
            <v>832</v>
          </cell>
          <cell r="F30">
            <v>1248</v>
          </cell>
        </row>
        <row r="32">
          <cell r="F32">
            <v>613.6</v>
          </cell>
          <cell r="L32">
            <v>1</v>
          </cell>
        </row>
        <row r="33">
          <cell r="F33">
            <v>1716</v>
          </cell>
          <cell r="M33">
            <v>1</v>
          </cell>
        </row>
        <row r="43">
          <cell r="F43">
            <v>140000</v>
          </cell>
          <cell r="G43">
            <v>140000</v>
          </cell>
        </row>
        <row r="44">
          <cell r="F44">
            <v>0</v>
          </cell>
          <cell r="G44">
            <v>0</v>
          </cell>
          <cell r="H44">
            <v>0</v>
          </cell>
          <cell r="I44">
            <v>0</v>
          </cell>
        </row>
        <row r="46">
          <cell r="K46" t="str">
            <v>Fixed</v>
          </cell>
        </row>
        <row r="47">
          <cell r="K47" t="str">
            <v>Fixed</v>
          </cell>
        </row>
        <row r="48">
          <cell r="K48" t="str">
            <v>Fixed</v>
          </cell>
        </row>
        <row r="49">
          <cell r="K49" t="str">
            <v>Fixed</v>
          </cell>
        </row>
        <row r="69">
          <cell r="H69">
            <v>0.005</v>
          </cell>
        </row>
        <row r="71">
          <cell r="J71"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De Delegation"/>
      <sheetName val="Summary Data"/>
      <sheetName val="Pro Forma"/>
      <sheetName val="Pro Forma Commentary"/>
      <sheetName val="Look Up"/>
      <sheetName val="Chart_Data"/>
      <sheetName val="References"/>
    </sheetNames>
    <sheetDataSet>
      <sheetData sheetId="7">
        <row r="2">
          <cell r="A2" t="str">
            <v>URN</v>
          </cell>
          <cell r="B2" t="str">
            <v>LAESTAB</v>
          </cell>
          <cell r="C2" t="str">
            <v>School Name</v>
          </cell>
          <cell r="D2" t="str">
            <v>Local_Authority</v>
          </cell>
          <cell r="E2" t="str">
            <v>Phase</v>
          </cell>
          <cell r="F2" t="str">
            <v>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102367</v>
          </cell>
        </row>
        <row r="4">
          <cell r="A4">
            <v>102368</v>
          </cell>
        </row>
        <row r="5">
          <cell r="A5">
            <v>102369</v>
          </cell>
        </row>
        <row r="6">
          <cell r="A6">
            <v>102373</v>
          </cell>
        </row>
        <row r="7">
          <cell r="A7">
            <v>102374</v>
          </cell>
        </row>
        <row r="8">
          <cell r="A8">
            <v>102375</v>
          </cell>
        </row>
        <row r="9">
          <cell r="A9">
            <v>102377</v>
          </cell>
        </row>
        <row r="10">
          <cell r="A10">
            <v>102378</v>
          </cell>
        </row>
        <row r="11">
          <cell r="A11">
            <v>102379</v>
          </cell>
        </row>
        <row r="12">
          <cell r="A12">
            <v>102380</v>
          </cell>
        </row>
        <row r="13">
          <cell r="A13">
            <v>102381</v>
          </cell>
        </row>
        <row r="14">
          <cell r="A14">
            <v>102382</v>
          </cell>
        </row>
        <row r="15">
          <cell r="A15">
            <v>102383</v>
          </cell>
        </row>
        <row r="16">
          <cell r="A16">
            <v>102384</v>
          </cell>
        </row>
        <row r="17">
          <cell r="A17">
            <v>102385</v>
          </cell>
        </row>
        <row r="18">
          <cell r="A18">
            <v>102388</v>
          </cell>
        </row>
        <row r="19">
          <cell r="A19">
            <v>102389</v>
          </cell>
        </row>
        <row r="20">
          <cell r="A20">
            <v>102390</v>
          </cell>
        </row>
        <row r="21">
          <cell r="A21">
            <v>102391</v>
          </cell>
        </row>
        <row r="22">
          <cell r="A22">
            <v>102392</v>
          </cell>
        </row>
        <row r="23">
          <cell r="A23">
            <v>102393</v>
          </cell>
        </row>
        <row r="24">
          <cell r="A24">
            <v>102394</v>
          </cell>
        </row>
        <row r="25">
          <cell r="A25">
            <v>102397</v>
          </cell>
        </row>
        <row r="26">
          <cell r="A26">
            <v>102398</v>
          </cell>
        </row>
        <row r="27">
          <cell r="A27">
            <v>102399</v>
          </cell>
        </row>
        <row r="28">
          <cell r="A28">
            <v>102400</v>
          </cell>
        </row>
        <row r="29">
          <cell r="A29">
            <v>102401</v>
          </cell>
        </row>
        <row r="30">
          <cell r="A30">
            <v>102403</v>
          </cell>
        </row>
        <row r="31">
          <cell r="A31">
            <v>102404</v>
          </cell>
        </row>
        <row r="32">
          <cell r="A32">
            <v>102405</v>
          </cell>
        </row>
        <row r="33">
          <cell r="A33">
            <v>102406</v>
          </cell>
        </row>
        <row r="34">
          <cell r="A34">
            <v>102407</v>
          </cell>
        </row>
        <row r="35">
          <cell r="A35">
            <v>102408</v>
          </cell>
        </row>
        <row r="36">
          <cell r="A36">
            <v>102409</v>
          </cell>
        </row>
        <row r="37">
          <cell r="A37">
            <v>102410</v>
          </cell>
        </row>
        <row r="38">
          <cell r="A38">
            <v>102411</v>
          </cell>
        </row>
        <row r="39">
          <cell r="A39">
            <v>102413</v>
          </cell>
        </row>
        <row r="40">
          <cell r="A40">
            <v>102414</v>
          </cell>
        </row>
        <row r="41">
          <cell r="A41">
            <v>102416</v>
          </cell>
        </row>
        <row r="42">
          <cell r="A42">
            <v>131152</v>
          </cell>
        </row>
        <row r="43">
          <cell r="A43">
            <v>131744</v>
          </cell>
        </row>
        <row r="44">
          <cell r="A44">
            <v>131638</v>
          </cell>
        </row>
        <row r="45">
          <cell r="A45">
            <v>102417</v>
          </cell>
        </row>
        <row r="46">
          <cell r="A46">
            <v>102418</v>
          </cell>
        </row>
        <row r="47">
          <cell r="A47">
            <v>102419</v>
          </cell>
        </row>
        <row r="48">
          <cell r="A48">
            <v>102420</v>
          </cell>
        </row>
        <row r="49">
          <cell r="A49">
            <v>102421</v>
          </cell>
        </row>
        <row r="50">
          <cell r="A50">
            <v>102422</v>
          </cell>
        </row>
        <row r="51">
          <cell r="A51">
            <v>102423</v>
          </cell>
        </row>
        <row r="52">
          <cell r="A52">
            <v>102424</v>
          </cell>
        </row>
        <row r="53">
          <cell r="A53">
            <v>102425</v>
          </cell>
        </row>
        <row r="54">
          <cell r="A54">
            <v>102426</v>
          </cell>
        </row>
        <row r="55">
          <cell r="A55">
            <v>117709</v>
          </cell>
        </row>
        <row r="56">
          <cell r="A56">
            <v>102430</v>
          </cell>
        </row>
        <row r="57">
          <cell r="A57">
            <v>102431</v>
          </cell>
        </row>
        <row r="58">
          <cell r="A58">
            <v>102432</v>
          </cell>
        </row>
        <row r="59">
          <cell r="A59">
            <v>102433</v>
          </cell>
        </row>
        <row r="60">
          <cell r="A60">
            <v>102434</v>
          </cell>
        </row>
        <row r="61">
          <cell r="A61">
            <v>102435</v>
          </cell>
        </row>
        <row r="62">
          <cell r="A62">
            <v>102436</v>
          </cell>
        </row>
        <row r="63">
          <cell r="A63">
            <v>102438</v>
          </cell>
        </row>
        <row r="64">
          <cell r="A64">
            <v>102439</v>
          </cell>
        </row>
        <row r="65">
          <cell r="A65">
            <v>138613</v>
          </cell>
        </row>
        <row r="66">
          <cell r="A66">
            <v>138621</v>
          </cell>
        </row>
        <row r="67">
          <cell r="A67">
            <v>133625</v>
          </cell>
        </row>
        <row r="68">
          <cell r="A68">
            <v>102449</v>
          </cell>
        </row>
        <row r="69">
          <cell r="A69">
            <v>102451</v>
          </cell>
        </row>
        <row r="70">
          <cell r="A70">
            <v>137407</v>
          </cell>
        </row>
        <row r="71">
          <cell r="A71">
            <v>136329</v>
          </cell>
        </row>
        <row r="72">
          <cell r="A72">
            <v>137633</v>
          </cell>
        </row>
        <row r="73">
          <cell r="A73">
            <v>136519</v>
          </cell>
        </row>
        <row r="74">
          <cell r="A74">
            <v>137635</v>
          </cell>
        </row>
        <row r="75">
          <cell r="A75">
            <v>136711</v>
          </cell>
        </row>
        <row r="76">
          <cell r="A76">
            <v>136768</v>
          </cell>
        </row>
        <row r="77">
          <cell r="A77">
            <v>137829</v>
          </cell>
        </row>
        <row r="78">
          <cell r="A78">
            <v>137077</v>
          </cell>
        </row>
        <row r="79">
          <cell r="A79">
            <v>137078</v>
          </cell>
        </row>
        <row r="80">
          <cell r="A80">
            <v>137925</v>
          </cell>
        </row>
        <row r="81">
          <cell r="A81">
            <v>136631</v>
          </cell>
        </row>
        <row r="82">
          <cell r="A82">
            <v>137844</v>
          </cell>
        </row>
      </sheetData>
      <sheetData sheetId="8">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102367</v>
          </cell>
        </row>
        <row r="53">
          <cell r="A53">
            <v>102368</v>
          </cell>
        </row>
        <row r="54">
          <cell r="A54">
            <v>102369</v>
          </cell>
        </row>
        <row r="55">
          <cell r="A55">
            <v>102373</v>
          </cell>
        </row>
        <row r="56">
          <cell r="A56">
            <v>102374</v>
          </cell>
        </row>
        <row r="57">
          <cell r="A57">
            <v>102375</v>
          </cell>
        </row>
        <row r="58">
          <cell r="A58">
            <v>102377</v>
          </cell>
        </row>
        <row r="59">
          <cell r="A59">
            <v>102378</v>
          </cell>
        </row>
        <row r="60">
          <cell r="A60">
            <v>102379</v>
          </cell>
        </row>
        <row r="61">
          <cell r="A61">
            <v>102380</v>
          </cell>
        </row>
        <row r="62">
          <cell r="A62">
            <v>102381</v>
          </cell>
        </row>
        <row r="63">
          <cell r="A63">
            <v>102382</v>
          </cell>
        </row>
        <row r="64">
          <cell r="A64">
            <v>102383</v>
          </cell>
        </row>
        <row r="65">
          <cell r="A65">
            <v>102384</v>
          </cell>
        </row>
        <row r="66">
          <cell r="A66">
            <v>102385</v>
          </cell>
        </row>
        <row r="67">
          <cell r="A67">
            <v>102388</v>
          </cell>
        </row>
        <row r="68">
          <cell r="A68">
            <v>102389</v>
          </cell>
        </row>
        <row r="69">
          <cell r="A69">
            <v>102390</v>
          </cell>
        </row>
        <row r="70">
          <cell r="A70">
            <v>102391</v>
          </cell>
        </row>
        <row r="71">
          <cell r="A71">
            <v>102392</v>
          </cell>
        </row>
        <row r="72">
          <cell r="A72">
            <v>102393</v>
          </cell>
        </row>
        <row r="73">
          <cell r="A73">
            <v>102394</v>
          </cell>
        </row>
        <row r="74">
          <cell r="A74">
            <v>102397</v>
          </cell>
        </row>
        <row r="75">
          <cell r="A75">
            <v>102398</v>
          </cell>
        </row>
        <row r="76">
          <cell r="A76">
            <v>102399</v>
          </cell>
        </row>
        <row r="77">
          <cell r="A77">
            <v>102400</v>
          </cell>
        </row>
        <row r="78">
          <cell r="A78">
            <v>102401</v>
          </cell>
        </row>
        <row r="79">
          <cell r="A79">
            <v>102403</v>
          </cell>
        </row>
        <row r="80">
          <cell r="A80">
            <v>102404</v>
          </cell>
        </row>
        <row r="81">
          <cell r="A81">
            <v>102405</v>
          </cell>
        </row>
        <row r="82">
          <cell r="A82">
            <v>102406</v>
          </cell>
        </row>
        <row r="83">
          <cell r="A83">
            <v>102407</v>
          </cell>
        </row>
        <row r="84">
          <cell r="A84">
            <v>102408</v>
          </cell>
        </row>
        <row r="85">
          <cell r="A85">
            <v>102409</v>
          </cell>
        </row>
        <row r="86">
          <cell r="A86">
            <v>102410</v>
          </cell>
        </row>
        <row r="87">
          <cell r="A87">
            <v>102411</v>
          </cell>
        </row>
        <row r="88">
          <cell r="A88">
            <v>102413</v>
          </cell>
        </row>
        <row r="89">
          <cell r="A89">
            <v>102414</v>
          </cell>
        </row>
        <row r="90">
          <cell r="A90">
            <v>102416</v>
          </cell>
        </row>
        <row r="91">
          <cell r="A91">
            <v>131152</v>
          </cell>
        </row>
        <row r="92">
          <cell r="A92">
            <v>131744</v>
          </cell>
        </row>
        <row r="93">
          <cell r="A93">
            <v>131638</v>
          </cell>
        </row>
        <row r="94">
          <cell r="A94">
            <v>102417</v>
          </cell>
        </row>
        <row r="95">
          <cell r="A95">
            <v>102418</v>
          </cell>
        </row>
        <row r="96">
          <cell r="A96">
            <v>102419</v>
          </cell>
        </row>
        <row r="97">
          <cell r="A97">
            <v>102420</v>
          </cell>
        </row>
        <row r="98">
          <cell r="A98">
            <v>102421</v>
          </cell>
        </row>
        <row r="99">
          <cell r="A99">
            <v>102422</v>
          </cell>
        </row>
        <row r="100">
          <cell r="A100">
            <v>102423</v>
          </cell>
        </row>
        <row r="101">
          <cell r="A101">
            <v>102424</v>
          </cell>
        </row>
        <row r="102">
          <cell r="A102">
            <v>102425</v>
          </cell>
        </row>
        <row r="103">
          <cell r="A103">
            <v>102426</v>
          </cell>
        </row>
        <row r="104">
          <cell r="A104">
            <v>117709</v>
          </cell>
        </row>
        <row r="105">
          <cell r="A105">
            <v>102430</v>
          </cell>
        </row>
        <row r="106">
          <cell r="A106">
            <v>102431</v>
          </cell>
        </row>
        <row r="107">
          <cell r="A107">
            <v>102432</v>
          </cell>
        </row>
        <row r="108">
          <cell r="A108">
            <v>102433</v>
          </cell>
        </row>
        <row r="109">
          <cell r="A109">
            <v>102434</v>
          </cell>
        </row>
        <row r="110">
          <cell r="A110">
            <v>102435</v>
          </cell>
        </row>
        <row r="111">
          <cell r="A111">
            <v>102436</v>
          </cell>
        </row>
        <row r="112">
          <cell r="A112">
            <v>102438</v>
          </cell>
        </row>
        <row r="113">
          <cell r="A113">
            <v>102439</v>
          </cell>
        </row>
        <row r="114">
          <cell r="A114">
            <v>138613</v>
          </cell>
        </row>
        <row r="115">
          <cell r="A115">
            <v>138621</v>
          </cell>
        </row>
        <row r="116">
          <cell r="A116">
            <v>133625</v>
          </cell>
        </row>
        <row r="117">
          <cell r="A117">
            <v>102449</v>
          </cell>
        </row>
        <row r="118">
          <cell r="A118">
            <v>102451</v>
          </cell>
        </row>
        <row r="119">
          <cell r="A119">
            <v>137407</v>
          </cell>
        </row>
        <row r="120">
          <cell r="A120">
            <v>136329</v>
          </cell>
        </row>
        <row r="121">
          <cell r="A121">
            <v>137633</v>
          </cell>
        </row>
        <row r="122">
          <cell r="A122">
            <v>136519</v>
          </cell>
        </row>
        <row r="123">
          <cell r="A123">
            <v>137635</v>
          </cell>
        </row>
        <row r="124">
          <cell r="A124">
            <v>136711</v>
          </cell>
        </row>
        <row r="125">
          <cell r="A125">
            <v>136768</v>
          </cell>
        </row>
        <row r="126">
          <cell r="A126">
            <v>137829</v>
          </cell>
        </row>
        <row r="127">
          <cell r="A127">
            <v>137077</v>
          </cell>
        </row>
        <row r="128">
          <cell r="A128">
            <v>137078</v>
          </cell>
        </row>
        <row r="129">
          <cell r="A129">
            <v>137925</v>
          </cell>
        </row>
        <row r="130">
          <cell r="A130">
            <v>136631</v>
          </cell>
        </row>
        <row r="131">
          <cell r="A131">
            <v>137844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Local Factors"/>
      <sheetName val="Inputs &amp; Adjustment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9">
        <row r="9">
          <cell r="E9"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1:G30"/>
  <sheetViews>
    <sheetView tabSelected="1" zoomScalePageLayoutView="0" workbookViewId="0" topLeftCell="A1">
      <selection activeCell="G6" sqref="G6"/>
    </sheetView>
  </sheetViews>
  <sheetFormatPr defaultColWidth="9.140625" defaultRowHeight="12.75"/>
  <cols>
    <col min="1" max="1" width="2.7109375" style="53" customWidth="1"/>
    <col min="2" max="2" width="18.421875" style="54" customWidth="1"/>
    <col min="3" max="3" width="104.00390625" style="53" customWidth="1"/>
    <col min="4" max="16384" width="9.140625" style="53" customWidth="1"/>
  </cols>
  <sheetData>
    <row r="1" ht="15.75">
      <c r="B1" s="67" t="s">
        <v>138</v>
      </c>
    </row>
    <row r="2" ht="13.5" thickBot="1"/>
    <row r="3" spans="2:3" s="62" customFormat="1" ht="13.5" thickBot="1">
      <c r="B3" s="98" t="s">
        <v>139</v>
      </c>
      <c r="C3" s="100"/>
    </row>
    <row r="4" spans="2:7" ht="140.25">
      <c r="B4" s="76"/>
      <c r="C4" s="91" t="s">
        <v>255</v>
      </c>
      <c r="G4" s="88"/>
    </row>
    <row r="5" spans="2:7" ht="90" customHeight="1">
      <c r="B5" s="55"/>
      <c r="C5" s="56" t="s">
        <v>256</v>
      </c>
      <c r="G5" s="88"/>
    </row>
    <row r="6" spans="2:7" ht="28.5" customHeight="1">
      <c r="B6" s="55">
        <v>1</v>
      </c>
      <c r="C6" s="56" t="s">
        <v>257</v>
      </c>
      <c r="G6" s="88"/>
    </row>
    <row r="7" spans="2:3" ht="127.5">
      <c r="B7" s="55">
        <v>2</v>
      </c>
      <c r="C7" s="56" t="s">
        <v>271</v>
      </c>
    </row>
    <row r="8" spans="2:3" ht="25.5" customHeight="1">
      <c r="B8" s="55">
        <v>3</v>
      </c>
      <c r="C8" s="56" t="s">
        <v>186</v>
      </c>
    </row>
    <row r="9" spans="2:3" ht="42" customHeight="1">
      <c r="B9" s="55">
        <v>4</v>
      </c>
      <c r="C9" s="56" t="s">
        <v>258</v>
      </c>
    </row>
    <row r="10" spans="2:3" ht="38.25">
      <c r="B10" s="55">
        <v>5</v>
      </c>
      <c r="C10" s="56" t="s">
        <v>227</v>
      </c>
    </row>
    <row r="11" spans="2:3" ht="51">
      <c r="B11" s="55">
        <v>6</v>
      </c>
      <c r="C11" s="56" t="s">
        <v>266</v>
      </c>
    </row>
    <row r="12" spans="2:3" ht="66" customHeight="1">
      <c r="B12" s="55">
        <v>7</v>
      </c>
      <c r="C12" s="56" t="s">
        <v>274</v>
      </c>
    </row>
    <row r="13" spans="2:3" ht="43.5" customHeight="1">
      <c r="B13" s="55">
        <v>8</v>
      </c>
      <c r="C13" s="56" t="s">
        <v>259</v>
      </c>
    </row>
    <row r="14" spans="2:3" ht="89.25">
      <c r="B14" s="55">
        <v>9</v>
      </c>
      <c r="C14" s="56" t="s">
        <v>275</v>
      </c>
    </row>
    <row r="15" spans="2:3" ht="38.25">
      <c r="B15" s="112">
        <v>10</v>
      </c>
      <c r="C15" s="56" t="s">
        <v>273</v>
      </c>
    </row>
    <row r="16" spans="2:3" ht="26.25" thickBot="1">
      <c r="B16" s="57">
        <v>11</v>
      </c>
      <c r="C16" s="58" t="s">
        <v>207</v>
      </c>
    </row>
    <row r="17" spans="2:3" ht="13.5" thickBot="1">
      <c r="B17" s="82"/>
      <c r="C17" s="83"/>
    </row>
    <row r="18" spans="2:3" ht="13.5" thickBot="1">
      <c r="B18" s="98" t="s">
        <v>153</v>
      </c>
      <c r="C18" s="99"/>
    </row>
    <row r="19" spans="2:5" s="62" customFormat="1" ht="139.5" customHeight="1">
      <c r="B19" s="76">
        <v>12</v>
      </c>
      <c r="C19" s="92" t="s">
        <v>276</v>
      </c>
      <c r="E19" s="95"/>
    </row>
    <row r="20" spans="2:3" ht="65.25" customHeight="1">
      <c r="B20" s="55">
        <v>13</v>
      </c>
      <c r="C20" s="93" t="s">
        <v>260</v>
      </c>
    </row>
    <row r="21" spans="2:3" ht="51.75" thickBot="1">
      <c r="B21" s="57">
        <v>14</v>
      </c>
      <c r="C21" s="94" t="s">
        <v>267</v>
      </c>
    </row>
    <row r="22" spans="2:3" ht="13.5" thickBot="1">
      <c r="B22" s="98"/>
      <c r="C22" s="100"/>
    </row>
    <row r="23" spans="2:3" ht="13.5" thickBot="1">
      <c r="B23" s="113" t="s">
        <v>220</v>
      </c>
      <c r="C23" s="114"/>
    </row>
    <row r="24" spans="2:3" ht="63.75">
      <c r="B24" s="76">
        <v>15</v>
      </c>
      <c r="C24" s="115" t="s">
        <v>268</v>
      </c>
    </row>
    <row r="25" spans="2:3" ht="63.75">
      <c r="B25" s="55">
        <v>16</v>
      </c>
      <c r="C25" s="116" t="s">
        <v>269</v>
      </c>
    </row>
    <row r="26" spans="2:3" ht="51">
      <c r="B26" s="55">
        <v>17</v>
      </c>
      <c r="C26" s="116" t="s">
        <v>272</v>
      </c>
    </row>
    <row r="27" spans="2:3" ht="51">
      <c r="B27" s="55">
        <v>18</v>
      </c>
      <c r="C27" s="116" t="s">
        <v>261</v>
      </c>
    </row>
    <row r="28" spans="2:3" ht="51">
      <c r="B28" s="55">
        <v>19</v>
      </c>
      <c r="C28" s="116" t="s">
        <v>270</v>
      </c>
    </row>
    <row r="29" spans="2:3" ht="12.75">
      <c r="B29" s="117" t="s">
        <v>228</v>
      </c>
      <c r="C29" s="116" t="s">
        <v>262</v>
      </c>
    </row>
    <row r="30" spans="2:3" ht="39" thickBot="1">
      <c r="B30" s="57">
        <v>22</v>
      </c>
      <c r="C30" s="58" t="s">
        <v>263</v>
      </c>
    </row>
  </sheetData>
  <sheetProtection/>
  <printOptions/>
  <pageMargins left="0.2362204724409449" right="0.2362204724409449" top="0.4724409448818898" bottom="0.4330708661417323" header="0.2755905511811024" footer="0.2362204724409449"/>
  <pageSetup fitToHeight="2" horizontalDpi="600" verticalDpi="600" orientation="portrait" paperSize="9" scale="82" r:id="rId1"/>
  <rowBreaks count="1" manualBreakCount="1">
    <brk id="16" min="1" max="2" man="1"/>
  </rowBreaks>
</worksheet>
</file>

<file path=xl/worksheets/sheet2.xml><?xml version="1.0" encoding="utf-8"?>
<worksheet xmlns="http://schemas.openxmlformats.org/spreadsheetml/2006/main" xmlns:r="http://schemas.openxmlformats.org/officeDocument/2006/relationships">
  <sheetPr>
    <tabColor indexed="47"/>
    <pageSetUpPr fitToPage="1"/>
  </sheetPr>
  <dimension ref="A1:N95"/>
  <sheetViews>
    <sheetView zoomScalePageLayoutView="0" workbookViewId="0" topLeftCell="A1">
      <selection activeCell="I11" sqref="I11"/>
    </sheetView>
  </sheetViews>
  <sheetFormatPr defaultColWidth="9.140625" defaultRowHeight="12.75"/>
  <cols>
    <col min="1" max="1" width="13.57421875" style="0" customWidth="1"/>
    <col min="2" max="2" width="47.140625" style="0" customWidth="1"/>
    <col min="3" max="3" width="12.28125" style="0" bestFit="1" customWidth="1"/>
    <col min="4" max="4" width="10.28125" style="0" customWidth="1"/>
    <col min="5" max="5" width="21.8515625" style="0" customWidth="1"/>
    <col min="6" max="6" width="3.00390625" style="0" customWidth="1"/>
    <col min="7" max="7" width="6.7109375" style="35" bestFit="1" customWidth="1"/>
    <col min="9" max="9" width="12.28125" style="0" bestFit="1" customWidth="1"/>
    <col min="12" max="12" width="9.140625" style="0" customWidth="1"/>
    <col min="13" max="13" width="36.7109375" style="0" hidden="1" customWidth="1"/>
    <col min="14" max="14" width="9.140625" style="0" hidden="1" customWidth="1"/>
    <col min="15" max="15" width="9.140625" style="0" customWidth="1"/>
  </cols>
  <sheetData>
    <row r="1" ht="20.25">
      <c r="A1" s="206" t="s">
        <v>265</v>
      </c>
    </row>
    <row r="2" ht="18.75" thickBot="1">
      <c r="B2" s="65"/>
    </row>
    <row r="3" spans="1:2" ht="13.5" thickBot="1">
      <c r="A3" s="3" t="s">
        <v>82</v>
      </c>
      <c r="B3" s="10" t="s">
        <v>99</v>
      </c>
    </row>
    <row r="4" spans="1:14" ht="13.5" thickBot="1">
      <c r="A4" s="3" t="s">
        <v>100</v>
      </c>
      <c r="B4" s="9">
        <f>VLOOKUP(B3,M:N,2,0)</f>
        <v>0</v>
      </c>
      <c r="M4" s="7" t="s">
        <v>99</v>
      </c>
      <c r="N4" s="7"/>
    </row>
    <row r="5" spans="13:14" ht="12.75">
      <c r="M5" s="7" t="s">
        <v>49</v>
      </c>
      <c r="N5" s="90">
        <v>5412</v>
      </c>
    </row>
    <row r="6" spans="2:14" ht="12.75">
      <c r="B6" s="29"/>
      <c r="C6" s="30" t="s">
        <v>74</v>
      </c>
      <c r="D6" s="30" t="s">
        <v>69</v>
      </c>
      <c r="E6" s="30" t="s">
        <v>75</v>
      </c>
      <c r="G6" s="49" t="s">
        <v>111</v>
      </c>
      <c r="M6" s="66" t="s">
        <v>149</v>
      </c>
      <c r="N6" s="90">
        <v>2001</v>
      </c>
    </row>
    <row r="7" spans="2:14" ht="12.75">
      <c r="B7" s="11" t="s">
        <v>71</v>
      </c>
      <c r="C7" s="12">
        <f>'All Schools'!AC3</f>
        <v>3437.28</v>
      </c>
      <c r="D7" s="13" t="e">
        <f>VLOOKUP($B$4,'All Schools'!$B$5:$BX$95,4,0)</f>
        <v>#N/A</v>
      </c>
      <c r="E7" s="14" t="e">
        <f>C7*D7</f>
        <v>#N/A</v>
      </c>
      <c r="G7" s="50">
        <v>1</v>
      </c>
      <c r="M7" s="66" t="s">
        <v>42</v>
      </c>
      <c r="N7" s="90">
        <v>4600</v>
      </c>
    </row>
    <row r="8" spans="2:14" ht="12.75">
      <c r="B8" s="15" t="s">
        <v>72</v>
      </c>
      <c r="C8" s="16">
        <f>'All Schools'!AD3</f>
        <v>4456.98</v>
      </c>
      <c r="D8" s="17" t="e">
        <f>VLOOKUP($B$4,'All Schools'!$B$5:$BX$95,6,0)</f>
        <v>#N/A</v>
      </c>
      <c r="E8" s="18" t="e">
        <f>C8*D8</f>
        <v>#N/A</v>
      </c>
      <c r="G8" s="50">
        <v>1</v>
      </c>
      <c r="I8" s="2"/>
      <c r="M8" s="7" t="s">
        <v>141</v>
      </c>
      <c r="N8" s="90">
        <v>5400</v>
      </c>
    </row>
    <row r="9" spans="2:14" ht="12.75">
      <c r="B9" s="19" t="s">
        <v>73</v>
      </c>
      <c r="C9" s="20">
        <f>'All Schools'!AE3</f>
        <v>5093.68</v>
      </c>
      <c r="D9" s="21" t="e">
        <f>VLOOKUP($B$4,'All Schools'!$B$5:$BX$95,7,0)</f>
        <v>#N/A</v>
      </c>
      <c r="E9" s="22" t="e">
        <f>C9*D9</f>
        <v>#N/A</v>
      </c>
      <c r="G9" s="50">
        <v>1</v>
      </c>
      <c r="I9" s="2"/>
      <c r="M9" s="7" t="s">
        <v>28</v>
      </c>
      <c r="N9" s="90">
        <v>3401</v>
      </c>
    </row>
    <row r="10" spans="2:14" ht="12.75">
      <c r="B10" s="23" t="s">
        <v>60</v>
      </c>
      <c r="C10" s="23"/>
      <c r="D10" s="24" t="e">
        <f>SUM(D7:D9)</f>
        <v>#N/A</v>
      </c>
      <c r="E10" s="25" t="e">
        <f>SUM(E7:E9)</f>
        <v>#N/A</v>
      </c>
      <c r="G10" s="50"/>
      <c r="I10" s="2"/>
      <c r="M10" s="7" t="s">
        <v>3</v>
      </c>
      <c r="N10" s="90">
        <v>2003</v>
      </c>
    </row>
    <row r="11" spans="4:14" ht="12.75">
      <c r="D11" s="6"/>
      <c r="E11" s="1"/>
      <c r="G11" s="51"/>
      <c r="M11" s="7" t="s">
        <v>142</v>
      </c>
      <c r="N11" s="90">
        <v>2002</v>
      </c>
    </row>
    <row r="12" spans="2:14" ht="12.75">
      <c r="B12" s="81" t="s">
        <v>154</v>
      </c>
      <c r="C12" s="12">
        <f>'All Schools'!AF3</f>
        <v>1031.14</v>
      </c>
      <c r="D12" s="13" t="e">
        <f>VLOOKUP($B$4,'All Schools'!$B$5:$BX$95,8,0)</f>
        <v>#N/A</v>
      </c>
      <c r="E12" s="14" t="e">
        <f>D12*C12</f>
        <v>#N/A</v>
      </c>
      <c r="G12" s="50">
        <v>2</v>
      </c>
      <c r="I12" s="2"/>
      <c r="M12" s="66" t="s">
        <v>94</v>
      </c>
      <c r="N12" s="90">
        <v>3300</v>
      </c>
    </row>
    <row r="13" spans="2:14" ht="12.75">
      <c r="B13" s="77" t="s">
        <v>155</v>
      </c>
      <c r="C13" s="16">
        <f>'All Schools'!AG3</f>
        <v>1340.48</v>
      </c>
      <c r="D13" s="17" t="e">
        <f>VLOOKUP($B$4,'All Schools'!$B$5:$BX$95,9,0)</f>
        <v>#N/A</v>
      </c>
      <c r="E13" s="18" t="e">
        <f>D13*C13</f>
        <v>#N/A</v>
      </c>
      <c r="G13" s="50">
        <v>2</v>
      </c>
      <c r="I13" s="2"/>
      <c r="M13" s="7" t="s">
        <v>38</v>
      </c>
      <c r="N13" s="90">
        <v>5206</v>
      </c>
    </row>
    <row r="14" spans="2:14" ht="12.75">
      <c r="B14" s="77" t="s">
        <v>156</v>
      </c>
      <c r="C14" s="16">
        <f>'All Schools'!AH3</f>
        <v>67.4</v>
      </c>
      <c r="D14" s="17" t="e">
        <f>VLOOKUP($B$4,'All Schools'!$B$5:$BX$95,10,0)</f>
        <v>#N/A</v>
      </c>
      <c r="E14" s="18" t="e">
        <f aca="true" t="shared" si="0" ref="E14:E30">D14*C14</f>
        <v>#N/A</v>
      </c>
      <c r="G14" s="50">
        <v>2</v>
      </c>
      <c r="I14" s="2"/>
      <c r="M14" s="66" t="s">
        <v>25</v>
      </c>
      <c r="N14" s="90">
        <v>2084</v>
      </c>
    </row>
    <row r="15" spans="2:14" ht="12.75">
      <c r="B15" s="77" t="s">
        <v>157</v>
      </c>
      <c r="C15" s="16">
        <f>'All Schools'!AI3</f>
        <v>134.8</v>
      </c>
      <c r="D15" s="17" t="e">
        <f>VLOOKUP($B$4,'All Schools'!$B$5:$BX$95,11,0)</f>
        <v>#N/A</v>
      </c>
      <c r="E15" s="18" t="e">
        <f t="shared" si="0"/>
        <v>#N/A</v>
      </c>
      <c r="G15" s="50">
        <v>2</v>
      </c>
      <c r="I15" s="2"/>
      <c r="M15" s="66" t="s">
        <v>4</v>
      </c>
      <c r="N15" s="90">
        <v>2010</v>
      </c>
    </row>
    <row r="16" spans="2:14" ht="12.75">
      <c r="B16" s="77" t="s">
        <v>158</v>
      </c>
      <c r="C16" s="16">
        <f>'All Schools'!AJ3</f>
        <v>202.21</v>
      </c>
      <c r="D16" s="17" t="e">
        <f>VLOOKUP($B$4,'All Schools'!$B$5:$BX$95,12,0)</f>
        <v>#N/A</v>
      </c>
      <c r="E16" s="18" t="e">
        <f t="shared" si="0"/>
        <v>#N/A</v>
      </c>
      <c r="G16" s="50">
        <v>2</v>
      </c>
      <c r="I16" s="2"/>
      <c r="M16" s="7" t="s">
        <v>6</v>
      </c>
      <c r="N16" s="90">
        <v>2012</v>
      </c>
    </row>
    <row r="17" spans="2:14" ht="12.75">
      <c r="B17" s="77" t="s">
        <v>159</v>
      </c>
      <c r="C17" s="16">
        <f>'All Schools'!AK3</f>
        <v>269.61</v>
      </c>
      <c r="D17" s="17" t="e">
        <f>VLOOKUP($B$4,'All Schools'!$B$5:$BX$95,13,0)</f>
        <v>#N/A</v>
      </c>
      <c r="E17" s="18" t="e">
        <f t="shared" si="0"/>
        <v>#N/A</v>
      </c>
      <c r="G17" s="50">
        <v>2</v>
      </c>
      <c r="I17" s="2"/>
      <c r="M17" s="7" t="s">
        <v>5</v>
      </c>
      <c r="N17" s="90">
        <v>2011</v>
      </c>
    </row>
    <row r="18" spans="2:14" ht="12.75">
      <c r="B18" s="77" t="s">
        <v>161</v>
      </c>
      <c r="C18" s="16">
        <f>'All Schools'!AL3</f>
        <v>337.01</v>
      </c>
      <c r="D18" s="17" t="e">
        <f>VLOOKUP($B$4,'All Schools'!$B$5:$BX$95,14,0)</f>
        <v>#N/A</v>
      </c>
      <c r="E18" s="18" t="e">
        <f t="shared" si="0"/>
        <v>#N/A</v>
      </c>
      <c r="G18" s="50">
        <v>2</v>
      </c>
      <c r="I18" s="2"/>
      <c r="M18" s="66" t="s">
        <v>124</v>
      </c>
      <c r="N18" s="90">
        <v>3410</v>
      </c>
    </row>
    <row r="19" spans="2:14" ht="12.75">
      <c r="B19" s="77" t="s">
        <v>160</v>
      </c>
      <c r="C19" s="16">
        <f>'All Schools'!AM3</f>
        <v>404.41</v>
      </c>
      <c r="D19" s="17" t="e">
        <f>VLOOKUP($B$4,'All Schools'!$B$5:$BX$95,15,0)</f>
        <v>#N/A</v>
      </c>
      <c r="E19" s="18" t="e">
        <f t="shared" si="0"/>
        <v>#N/A</v>
      </c>
      <c r="G19" s="50">
        <v>2</v>
      </c>
      <c r="I19" s="2"/>
      <c r="M19" s="7" t="s">
        <v>185</v>
      </c>
      <c r="N19" s="90">
        <v>2078</v>
      </c>
    </row>
    <row r="20" spans="2:14" ht="12.75">
      <c r="B20" s="77" t="s">
        <v>162</v>
      </c>
      <c r="C20" s="16">
        <f>'All Schools'!AN3</f>
        <v>87.62</v>
      </c>
      <c r="D20" s="17" t="e">
        <f>VLOOKUP($B$4,'All Schools'!$B$5:$BX$95,16,0)</f>
        <v>#N/A</v>
      </c>
      <c r="E20" s="18" t="e">
        <f t="shared" si="0"/>
        <v>#N/A</v>
      </c>
      <c r="G20" s="50">
        <v>2</v>
      </c>
      <c r="I20" s="2"/>
      <c r="M20" s="7" t="s">
        <v>145</v>
      </c>
      <c r="N20" s="90">
        <v>4009</v>
      </c>
    </row>
    <row r="21" spans="2:14" ht="12.75">
      <c r="B21" s="77" t="s">
        <v>163</v>
      </c>
      <c r="C21" s="16">
        <f>'All Schools'!AO3</f>
        <v>175.25</v>
      </c>
      <c r="D21" s="17" t="e">
        <f>VLOOKUP($B$4,'All Schools'!$B$5:$BX$95,17,0)</f>
        <v>#N/A</v>
      </c>
      <c r="E21" s="18" t="e">
        <f t="shared" si="0"/>
        <v>#N/A</v>
      </c>
      <c r="G21" s="50">
        <v>2</v>
      </c>
      <c r="I21" s="2"/>
      <c r="M21" s="7" t="s">
        <v>7</v>
      </c>
      <c r="N21" s="90">
        <v>2016</v>
      </c>
    </row>
    <row r="22" spans="2:14" ht="12.75">
      <c r="B22" s="77" t="s">
        <v>164</v>
      </c>
      <c r="C22" s="16">
        <f>'All Schools'!AP3</f>
        <v>262.87</v>
      </c>
      <c r="D22" s="17" t="e">
        <f>VLOOKUP($B$4,'All Schools'!$B$5:$BX$95,18,0)</f>
        <v>#N/A</v>
      </c>
      <c r="E22" s="18" t="e">
        <f t="shared" si="0"/>
        <v>#N/A</v>
      </c>
      <c r="G22" s="50">
        <v>2</v>
      </c>
      <c r="I22" s="2"/>
      <c r="M22" s="7" t="s">
        <v>27</v>
      </c>
      <c r="N22" s="90">
        <v>3307</v>
      </c>
    </row>
    <row r="23" spans="2:14" ht="12.75">
      <c r="B23" s="77" t="s">
        <v>165</v>
      </c>
      <c r="C23" s="16">
        <f>'All Schools'!AQ3</f>
        <v>350.49</v>
      </c>
      <c r="D23" s="17" t="e">
        <f>VLOOKUP($B$4,'All Schools'!$B$5:$BX$95,19,0)</f>
        <v>#N/A</v>
      </c>
      <c r="E23" s="18" t="e">
        <f t="shared" si="0"/>
        <v>#N/A</v>
      </c>
      <c r="G23" s="50">
        <v>2</v>
      </c>
      <c r="I23" s="2"/>
      <c r="M23" s="61" t="s">
        <v>151</v>
      </c>
      <c r="N23" s="90">
        <v>2019</v>
      </c>
    </row>
    <row r="24" spans="2:14" ht="12.75">
      <c r="B24" s="77" t="s">
        <v>167</v>
      </c>
      <c r="C24" s="16">
        <f>'All Schools'!AR3</f>
        <v>438.11</v>
      </c>
      <c r="D24" s="17" t="e">
        <f>VLOOKUP($B$4,'All Schools'!$B$5:$BX$95,20,0)</f>
        <v>#N/A</v>
      </c>
      <c r="E24" s="18" t="e">
        <f t="shared" si="0"/>
        <v>#N/A</v>
      </c>
      <c r="G24" s="50">
        <v>2</v>
      </c>
      <c r="I24" s="2"/>
      <c r="M24" s="7" t="s">
        <v>8</v>
      </c>
      <c r="N24" s="90">
        <v>2018</v>
      </c>
    </row>
    <row r="25" spans="2:14" ht="12.75">
      <c r="B25" s="77" t="s">
        <v>166</v>
      </c>
      <c r="C25" s="16">
        <f>'All Schools'!AS3</f>
        <v>525.74</v>
      </c>
      <c r="D25" s="17" t="e">
        <f>VLOOKUP($B$4,'All Schools'!$B$5:$BX$95,21,0)</f>
        <v>#N/A</v>
      </c>
      <c r="E25" s="18" t="e">
        <f t="shared" si="0"/>
        <v>#N/A</v>
      </c>
      <c r="G25" s="50">
        <v>2</v>
      </c>
      <c r="I25" s="2"/>
      <c r="M25" s="7" t="s">
        <v>22</v>
      </c>
      <c r="N25" s="90">
        <v>2076</v>
      </c>
    </row>
    <row r="26" spans="2:14" ht="12.75">
      <c r="B26" s="15" t="s">
        <v>76</v>
      </c>
      <c r="C26" s="16">
        <f>'All Schools'!AT3</f>
        <v>768.64</v>
      </c>
      <c r="D26" s="17" t="e">
        <f>VLOOKUP($B$4,'All Schools'!$B$5:$BX$95,22,0)</f>
        <v>#N/A</v>
      </c>
      <c r="E26" s="18" t="e">
        <f t="shared" si="0"/>
        <v>#N/A</v>
      </c>
      <c r="G26" s="50">
        <v>3</v>
      </c>
      <c r="I26" s="2"/>
      <c r="M26" s="7" t="s">
        <v>9</v>
      </c>
      <c r="N26" s="90">
        <v>2020</v>
      </c>
    </row>
    <row r="27" spans="2:14" ht="12.75">
      <c r="B27" s="15" t="s">
        <v>77</v>
      </c>
      <c r="C27" s="16">
        <f>'All Schools'!AU3</f>
        <v>1158.19</v>
      </c>
      <c r="D27" s="17" t="e">
        <f>VLOOKUP($B$4,'All Schools'!$B$5:$BX$95,23,0)</f>
        <v>#N/A</v>
      </c>
      <c r="E27" s="18" t="e">
        <f t="shared" si="0"/>
        <v>#N/A</v>
      </c>
      <c r="G27" s="50">
        <v>3</v>
      </c>
      <c r="I27" s="2"/>
      <c r="M27" s="60" t="s">
        <v>129</v>
      </c>
      <c r="N27" s="90">
        <v>5203</v>
      </c>
    </row>
    <row r="28" spans="2:14" ht="12.75">
      <c r="B28" s="77" t="s">
        <v>205</v>
      </c>
      <c r="C28" s="16">
        <f>'All Schools'!AV3</f>
        <v>613.6</v>
      </c>
      <c r="D28" s="17" t="e">
        <f>VLOOKUP($B$4,'All Schools'!$B$5:$BX$95,24,0)</f>
        <v>#N/A</v>
      </c>
      <c r="E28" s="18" t="e">
        <f t="shared" si="0"/>
        <v>#N/A</v>
      </c>
      <c r="G28" s="50">
        <v>4</v>
      </c>
      <c r="I28" s="2"/>
      <c r="M28" s="66" t="s">
        <v>35</v>
      </c>
      <c r="N28" s="90">
        <v>5202</v>
      </c>
    </row>
    <row r="29" spans="2:14" ht="12.75">
      <c r="B29" s="77" t="s">
        <v>206</v>
      </c>
      <c r="C29" s="16">
        <f>'All Schools'!AW3</f>
        <v>1716</v>
      </c>
      <c r="D29" s="17" t="e">
        <f>VLOOKUP($B$4,'All Schools'!$B$5:$BX$95,25,0)</f>
        <v>#N/A</v>
      </c>
      <c r="E29" s="18" t="e">
        <f t="shared" si="0"/>
        <v>#N/A</v>
      </c>
      <c r="G29" s="50">
        <v>5</v>
      </c>
      <c r="I29" s="2"/>
      <c r="M29" s="7" t="s">
        <v>43</v>
      </c>
      <c r="N29" s="90">
        <v>4654</v>
      </c>
    </row>
    <row r="30" spans="2:14" ht="12.75">
      <c r="B30" s="15" t="s">
        <v>78</v>
      </c>
      <c r="C30" s="16">
        <f>'All Schools'!AX3</f>
        <v>832</v>
      </c>
      <c r="D30" s="17" t="e">
        <f>VLOOKUP($B$4,'All Schools'!$B$5:$BX$95,26,0)</f>
        <v>#N/A</v>
      </c>
      <c r="E30" s="18" t="e">
        <f t="shared" si="0"/>
        <v>#N/A</v>
      </c>
      <c r="G30" s="50">
        <v>6</v>
      </c>
      <c r="I30" s="2"/>
      <c r="M30" s="7" t="s">
        <v>83</v>
      </c>
      <c r="N30" s="90">
        <v>2024</v>
      </c>
    </row>
    <row r="31" spans="2:14" ht="12.75">
      <c r="B31" s="15" t="s">
        <v>79</v>
      </c>
      <c r="C31" s="16">
        <f>'All Schools'!AY3</f>
        <v>1248</v>
      </c>
      <c r="D31" s="17" t="e">
        <f>VLOOKUP($B$4,'All Schools'!$B$5:$BX$95,27,0)</f>
        <v>#N/A</v>
      </c>
      <c r="E31" s="18" t="e">
        <f>D31*C31</f>
        <v>#N/A</v>
      </c>
      <c r="G31" s="50">
        <v>6</v>
      </c>
      <c r="I31" s="2"/>
      <c r="M31" s="66" t="s">
        <v>10</v>
      </c>
      <c r="N31" s="90">
        <v>2023</v>
      </c>
    </row>
    <row r="32" spans="2:14" ht="12.75">
      <c r="B32" s="26" t="s">
        <v>61</v>
      </c>
      <c r="C32" s="26"/>
      <c r="D32" s="26"/>
      <c r="E32" s="27" t="e">
        <f>SUM(E12:E31)</f>
        <v>#N/A</v>
      </c>
      <c r="G32" s="50"/>
      <c r="M32" s="7" t="s">
        <v>126</v>
      </c>
      <c r="N32" s="90">
        <v>5411</v>
      </c>
    </row>
    <row r="33" spans="5:14" ht="12.75">
      <c r="E33" s="1"/>
      <c r="G33" s="51"/>
      <c r="M33" s="7" t="s">
        <v>84</v>
      </c>
      <c r="N33" s="90">
        <v>2025</v>
      </c>
    </row>
    <row r="34" spans="2:14" ht="12.75">
      <c r="B34" s="11" t="s">
        <v>56</v>
      </c>
      <c r="C34" s="12">
        <v>140000</v>
      </c>
      <c r="D34" s="11"/>
      <c r="E34" s="14">
        <f>C34</f>
        <v>140000</v>
      </c>
      <c r="G34" s="50"/>
      <c r="I34" s="2"/>
      <c r="M34" s="7" t="s">
        <v>85</v>
      </c>
      <c r="N34" s="90">
        <v>2026</v>
      </c>
    </row>
    <row r="35" spans="2:14" ht="12.75">
      <c r="B35" s="15" t="s">
        <v>58</v>
      </c>
      <c r="C35" s="16"/>
      <c r="D35" s="15"/>
      <c r="E35" s="18" t="e">
        <f>VLOOKUP($B$4,'All Schools'!$B$5:$BX$95,52,0)</f>
        <v>#N/A</v>
      </c>
      <c r="G35" s="50">
        <v>7</v>
      </c>
      <c r="I35" s="2"/>
      <c r="M35" s="7" t="s">
        <v>96</v>
      </c>
      <c r="N35" s="90">
        <v>5401</v>
      </c>
    </row>
    <row r="36" spans="2:14" ht="12.75">
      <c r="B36" s="77" t="s">
        <v>244</v>
      </c>
      <c r="C36" s="16"/>
      <c r="D36" s="15"/>
      <c r="E36" s="18" t="e">
        <f>VLOOKUP($B$4,'All Schools'!$B$5:$BX$95,53,0)</f>
        <v>#N/A</v>
      </c>
      <c r="G36" s="50">
        <v>7</v>
      </c>
      <c r="M36" s="7" t="s">
        <v>39</v>
      </c>
      <c r="N36" s="90">
        <v>5211</v>
      </c>
    </row>
    <row r="37" spans="2:14" ht="12.75">
      <c r="B37" s="15" t="s">
        <v>80</v>
      </c>
      <c r="C37" s="16"/>
      <c r="D37" s="15"/>
      <c r="E37" s="18" t="e">
        <f>VLOOKUP($B$4,'All Schools'!$B$5:$BX$95,54,0)</f>
        <v>#N/A</v>
      </c>
      <c r="G37" s="50"/>
      <c r="M37" s="66" t="s">
        <v>140</v>
      </c>
      <c r="N37" s="90">
        <v>4002</v>
      </c>
    </row>
    <row r="38" spans="2:14" ht="12.75">
      <c r="B38" s="15" t="s">
        <v>59</v>
      </c>
      <c r="C38" s="16"/>
      <c r="D38" s="15"/>
      <c r="E38" s="18" t="e">
        <f>VLOOKUP($B$4,'All Schools'!$B$5:$BX$95,55,0)</f>
        <v>#N/A</v>
      </c>
      <c r="G38" s="50"/>
      <c r="M38" s="7" t="s">
        <v>86</v>
      </c>
      <c r="N38" s="90">
        <v>2029</v>
      </c>
    </row>
    <row r="39" spans="2:14" ht="12.75">
      <c r="B39" s="78" t="s">
        <v>245</v>
      </c>
      <c r="C39" s="20"/>
      <c r="D39" s="19"/>
      <c r="E39" s="18" t="e">
        <f>VLOOKUP($B$4,'All Schools'!$B$5:$BX$95,56,0)</f>
        <v>#N/A</v>
      </c>
      <c r="G39" s="50"/>
      <c r="M39" s="66" t="s">
        <v>19</v>
      </c>
      <c r="N39" s="90">
        <v>2061</v>
      </c>
    </row>
    <row r="40" spans="2:14" ht="12.75">
      <c r="B40" s="26" t="s">
        <v>81</v>
      </c>
      <c r="C40" s="26"/>
      <c r="D40" s="26"/>
      <c r="E40" s="27" t="e">
        <f>SUM(E34:E39)</f>
        <v>#N/A</v>
      </c>
      <c r="G40" s="50"/>
      <c r="M40" s="7" t="s">
        <v>47</v>
      </c>
      <c r="N40" s="90">
        <v>5407</v>
      </c>
    </row>
    <row r="41" spans="5:14" ht="12.75">
      <c r="E41" s="1"/>
      <c r="G41" s="51"/>
      <c r="M41" s="66" t="s">
        <v>143</v>
      </c>
      <c r="N41" s="90">
        <v>2021</v>
      </c>
    </row>
    <row r="42" spans="2:14" ht="12.75">
      <c r="B42" s="26" t="s">
        <v>104</v>
      </c>
      <c r="C42" s="26"/>
      <c r="D42" s="26"/>
      <c r="E42" s="27" t="e">
        <f>E10+E32+E40</f>
        <v>#N/A</v>
      </c>
      <c r="G42" s="50"/>
      <c r="M42" s="7" t="s">
        <v>91</v>
      </c>
      <c r="N42" s="90">
        <v>2063</v>
      </c>
    </row>
    <row r="43" spans="5:14" ht="12.75">
      <c r="E43" s="1"/>
      <c r="G43" s="51"/>
      <c r="M43" s="7" t="s">
        <v>24</v>
      </c>
      <c r="N43" s="90">
        <v>2081</v>
      </c>
    </row>
    <row r="44" spans="2:14" ht="12.75">
      <c r="B44" s="11" t="s">
        <v>106</v>
      </c>
      <c r="C44" s="11"/>
      <c r="D44" s="11"/>
      <c r="E44" s="14" t="e">
        <f>VLOOKUP($B$4,'All Schools'!$B$5:$BX$95,64,0)</f>
        <v>#N/A</v>
      </c>
      <c r="G44" s="50">
        <v>8</v>
      </c>
      <c r="M44" s="7" t="s">
        <v>36</v>
      </c>
      <c r="N44" s="90">
        <v>5204</v>
      </c>
    </row>
    <row r="45" spans="2:14" ht="12.75">
      <c r="B45" s="77" t="s">
        <v>253</v>
      </c>
      <c r="C45" s="15"/>
      <c r="D45" s="15"/>
      <c r="E45" s="18" t="e">
        <f>VLOOKUP($B$4,'All Schools'!$B$5:$BX$95,65,0)</f>
        <v>#N/A</v>
      </c>
      <c r="G45" s="50">
        <v>8</v>
      </c>
      <c r="M45" s="7" t="s">
        <v>37</v>
      </c>
      <c r="N45" s="90">
        <v>5205</v>
      </c>
    </row>
    <row r="46" spans="2:14" ht="12.75">
      <c r="B46" s="77" t="s">
        <v>229</v>
      </c>
      <c r="C46" s="15"/>
      <c r="D46" s="15"/>
      <c r="E46" s="18" t="e">
        <f>VLOOKUP($B$4,'All Schools'!$B$5:$BX$95,66,0)</f>
        <v>#N/A</v>
      </c>
      <c r="G46" s="50">
        <v>8</v>
      </c>
      <c r="M46" s="7" t="s">
        <v>26</v>
      </c>
      <c r="N46" s="90">
        <v>3302</v>
      </c>
    </row>
    <row r="47" spans="2:14" ht="12.75">
      <c r="B47" s="15" t="s">
        <v>107</v>
      </c>
      <c r="C47" s="15"/>
      <c r="D47" s="15"/>
      <c r="E47" s="28" t="e">
        <f>VLOOKUP($B$4,'All Schools'!$B$5:$BX$95,67,0)</f>
        <v>#N/A</v>
      </c>
      <c r="G47" s="50">
        <v>9</v>
      </c>
      <c r="M47" s="7" t="s">
        <v>131</v>
      </c>
      <c r="N47" s="90">
        <v>2027</v>
      </c>
    </row>
    <row r="48" spans="2:14" ht="12.75">
      <c r="B48" s="15" t="s">
        <v>108</v>
      </c>
      <c r="C48" s="18"/>
      <c r="D48" s="15"/>
      <c r="E48" s="28" t="e">
        <f>VLOOKUP($B$4,'All Schools'!$B$5:$BX$95,68,0)</f>
        <v>#N/A</v>
      </c>
      <c r="G48" s="52">
        <v>9</v>
      </c>
      <c r="M48" s="66" t="s">
        <v>11</v>
      </c>
      <c r="N48" s="90">
        <v>2033</v>
      </c>
    </row>
    <row r="49" spans="2:14" ht="12.75">
      <c r="B49" s="15" t="s">
        <v>110</v>
      </c>
      <c r="C49" s="18"/>
      <c r="D49" s="15"/>
      <c r="E49" s="18" t="e">
        <f>VLOOKUP($B$4,'All Schools'!$B$5:$BX$95,69,0)</f>
        <v>#N/A</v>
      </c>
      <c r="G49" s="50">
        <v>9</v>
      </c>
      <c r="I49" s="2"/>
      <c r="M49" s="7" t="s">
        <v>87</v>
      </c>
      <c r="N49" s="90">
        <v>2032</v>
      </c>
    </row>
    <row r="50" spans="2:14" ht="12.75">
      <c r="B50" s="26" t="s">
        <v>67</v>
      </c>
      <c r="C50" s="27"/>
      <c r="D50" s="26"/>
      <c r="E50" s="27" t="e">
        <f>E42+E49</f>
        <v>#N/A</v>
      </c>
      <c r="G50" s="50"/>
      <c r="I50" s="2"/>
      <c r="M50" s="7" t="s">
        <v>132</v>
      </c>
      <c r="N50" s="90">
        <v>2028</v>
      </c>
    </row>
    <row r="51" spans="3:14" ht="12.75">
      <c r="C51" s="1"/>
      <c r="E51" s="1"/>
      <c r="G51" s="51"/>
      <c r="M51" s="7" t="s">
        <v>12</v>
      </c>
      <c r="N51" s="90">
        <v>2017</v>
      </c>
    </row>
    <row r="52" spans="2:14" ht="12.75">
      <c r="B52" s="102" t="s">
        <v>210</v>
      </c>
      <c r="C52" s="103">
        <v>2.19</v>
      </c>
      <c r="D52" s="34" t="e">
        <f>D10</f>
        <v>#N/A</v>
      </c>
      <c r="E52" s="84" t="e">
        <f>VLOOKUP(B4,'All Schools'!$B$5:$BV$95,71,0)</f>
        <v>#N/A</v>
      </c>
      <c r="G52" s="50">
        <v>10</v>
      </c>
      <c r="M52" s="59" t="s">
        <v>89</v>
      </c>
      <c r="N52" s="101">
        <v>2037</v>
      </c>
    </row>
    <row r="53" spans="2:14" ht="12.75">
      <c r="B53" s="85" t="s">
        <v>187</v>
      </c>
      <c r="C53" s="86">
        <v>1.22</v>
      </c>
      <c r="D53" s="34" t="e">
        <f>D10</f>
        <v>#N/A</v>
      </c>
      <c r="E53" s="84" t="e">
        <f>VLOOKUP(B4,'All Schools'!$B$5:$BV$96,72,0)</f>
        <v>#N/A</v>
      </c>
      <c r="G53" s="50">
        <v>11</v>
      </c>
      <c r="J53" s="2"/>
      <c r="M53" s="7" t="s">
        <v>88</v>
      </c>
      <c r="N53" s="90">
        <v>2036</v>
      </c>
    </row>
    <row r="54" spans="5:14" ht="13.5" thickBot="1">
      <c r="E54" s="1"/>
      <c r="G54" s="51"/>
      <c r="M54" s="66" t="s">
        <v>133</v>
      </c>
      <c r="N54" s="90">
        <v>2022</v>
      </c>
    </row>
    <row r="55" spans="2:14" ht="13.5" thickBot="1">
      <c r="B55" s="31" t="s">
        <v>128</v>
      </c>
      <c r="C55" s="32"/>
      <c r="D55" s="32"/>
      <c r="E55" s="33" t="e">
        <f>E50+E52+E53</f>
        <v>#N/A</v>
      </c>
      <c r="G55" s="50"/>
      <c r="M55" s="66" t="s">
        <v>14</v>
      </c>
      <c r="N55" s="90">
        <v>2039</v>
      </c>
    </row>
    <row r="56" spans="5:14" ht="12.75">
      <c r="E56" s="1"/>
      <c r="G56" s="51"/>
      <c r="M56" s="7" t="s">
        <v>13</v>
      </c>
      <c r="N56" s="90">
        <v>2038</v>
      </c>
    </row>
    <row r="57" spans="2:14" ht="12.75">
      <c r="B57" s="68" t="s">
        <v>152</v>
      </c>
      <c r="E57" s="1"/>
      <c r="G57" s="51"/>
      <c r="M57" s="7" t="s">
        <v>98</v>
      </c>
      <c r="N57" s="90">
        <v>5405</v>
      </c>
    </row>
    <row r="58" spans="5:14" ht="12.75">
      <c r="E58" s="1"/>
      <c r="G58" s="51"/>
      <c r="M58" s="7" t="s">
        <v>33</v>
      </c>
      <c r="N58" s="90">
        <v>5200</v>
      </c>
    </row>
    <row r="59" spans="2:14" ht="12.75">
      <c r="B59" s="81" t="s">
        <v>234</v>
      </c>
      <c r="C59" s="109"/>
      <c r="D59" s="73"/>
      <c r="E59" s="14" t="e">
        <f>VLOOKUP(B4,'All Schools'!$B$5:$CB$95,75,0)</f>
        <v>#N/A</v>
      </c>
      <c r="G59" s="72">
        <v>12</v>
      </c>
      <c r="M59" s="66" t="s">
        <v>34</v>
      </c>
      <c r="N59" s="90">
        <v>5201</v>
      </c>
    </row>
    <row r="60" spans="2:14" ht="12.75">
      <c r="B60" s="77" t="s">
        <v>233</v>
      </c>
      <c r="C60" s="74"/>
      <c r="D60" s="69"/>
      <c r="E60" s="18" t="e">
        <f>VLOOKUP(B4,'All Schools'!$B$5:$CB$95,76,0)</f>
        <v>#N/A</v>
      </c>
      <c r="G60" s="72">
        <v>12</v>
      </c>
      <c r="M60" s="7" t="s">
        <v>201</v>
      </c>
      <c r="N60" s="90">
        <v>5409</v>
      </c>
    </row>
    <row r="61" spans="2:14" ht="12.75">
      <c r="B61" s="110" t="s">
        <v>147</v>
      </c>
      <c r="C61" s="74"/>
      <c r="D61" s="69"/>
      <c r="E61" s="18" t="e">
        <f>VLOOKUP(B4,'All Schools'!$B$5:$CB$95,77,0)</f>
        <v>#N/A</v>
      </c>
      <c r="G61" s="72">
        <v>13</v>
      </c>
      <c r="M61" s="7" t="s">
        <v>192</v>
      </c>
      <c r="N61" s="90">
        <v>4021</v>
      </c>
    </row>
    <row r="62" spans="2:14" ht="12.75">
      <c r="B62" s="110" t="s">
        <v>246</v>
      </c>
      <c r="C62" s="74"/>
      <c r="D62" s="69"/>
      <c r="E62" s="18" t="e">
        <f>VLOOKUP(B4,'All Schools'!$B$5:$CB$95,78,0)</f>
        <v>#N/A</v>
      </c>
      <c r="G62" s="72">
        <v>13</v>
      </c>
      <c r="M62" t="s">
        <v>134</v>
      </c>
      <c r="N62" s="101">
        <v>4000</v>
      </c>
    </row>
    <row r="63" spans="2:14" ht="12.75">
      <c r="B63" s="111" t="s">
        <v>148</v>
      </c>
      <c r="C63" s="75"/>
      <c r="D63" s="119"/>
      <c r="E63" s="22" t="e">
        <f>VLOOKUP(B4,'All Schools'!$B$5:$CB$95,79,0)</f>
        <v>#N/A</v>
      </c>
      <c r="G63" s="72">
        <v>14</v>
      </c>
      <c r="M63" s="59" t="s">
        <v>208</v>
      </c>
      <c r="N63" s="101">
        <v>2040</v>
      </c>
    </row>
    <row r="64" spans="13:14" ht="12.75">
      <c r="M64" s="7" t="s">
        <v>44</v>
      </c>
      <c r="N64" s="90">
        <v>5403</v>
      </c>
    </row>
    <row r="65" spans="2:14" ht="12.75">
      <c r="B65" s="68" t="s">
        <v>220</v>
      </c>
      <c r="M65" s="7" t="s">
        <v>20</v>
      </c>
      <c r="N65" s="90">
        <v>2064</v>
      </c>
    </row>
    <row r="66" spans="13:14" ht="12.75">
      <c r="M66" s="7" t="s">
        <v>46</v>
      </c>
      <c r="N66" s="90">
        <v>5406</v>
      </c>
    </row>
    <row r="67" spans="2:14" ht="12.75">
      <c r="B67" s="104" t="s">
        <v>221</v>
      </c>
      <c r="C67" s="11"/>
      <c r="D67" s="11"/>
      <c r="E67" s="105" t="e">
        <f>VLOOKUP(B4,'All Schools'!$B$5:$CK$95,81,0)</f>
        <v>#N/A</v>
      </c>
      <c r="G67" s="72">
        <v>15</v>
      </c>
      <c r="M67" s="7" t="s">
        <v>135</v>
      </c>
      <c r="N67" s="90">
        <v>2045</v>
      </c>
    </row>
    <row r="68" spans="2:14" ht="12.75">
      <c r="B68" s="96" t="s">
        <v>222</v>
      </c>
      <c r="C68" s="15"/>
      <c r="D68" s="15"/>
      <c r="E68" s="106" t="e">
        <f>VLOOKUP(B4,'All Schools'!$B$5:$CK$95,82,0)</f>
        <v>#N/A</v>
      </c>
      <c r="G68" s="72">
        <v>16</v>
      </c>
      <c r="M68" s="7" t="s">
        <v>23</v>
      </c>
      <c r="N68" s="90">
        <v>2080</v>
      </c>
    </row>
    <row r="69" spans="2:14" ht="12.75">
      <c r="B69" s="96" t="s">
        <v>223</v>
      </c>
      <c r="C69" s="15"/>
      <c r="D69" s="15"/>
      <c r="E69" s="106" t="e">
        <f>VLOOKUP(B4,'All Schools'!$B$5:$CK$95,83,0)</f>
        <v>#N/A</v>
      </c>
      <c r="G69" s="72">
        <v>17</v>
      </c>
      <c r="M69" s="7" t="s">
        <v>41</v>
      </c>
      <c r="N69" s="90">
        <v>4023</v>
      </c>
    </row>
    <row r="70" spans="2:14" ht="12.75">
      <c r="B70" s="96" t="s">
        <v>224</v>
      </c>
      <c r="C70" s="15"/>
      <c r="D70" s="15"/>
      <c r="E70" s="106" t="e">
        <f>VLOOKUP(B4,'All Schools'!$B$5:$CK$95,84,0)</f>
        <v>#N/A</v>
      </c>
      <c r="G70" s="72">
        <v>18</v>
      </c>
      <c r="M70" s="71" t="s">
        <v>15</v>
      </c>
      <c r="N70" s="90">
        <v>2048</v>
      </c>
    </row>
    <row r="71" spans="2:14" ht="12.75">
      <c r="B71" s="96" t="s">
        <v>225</v>
      </c>
      <c r="C71" s="15"/>
      <c r="D71" s="15"/>
      <c r="E71" s="106" t="e">
        <f>VLOOKUP(B4,'All Schools'!$B$5:$CK$95,85,0)</f>
        <v>#N/A</v>
      </c>
      <c r="G71" s="72">
        <v>19</v>
      </c>
      <c r="M71" s="7" t="s">
        <v>32</v>
      </c>
      <c r="N71" s="90">
        <v>3405</v>
      </c>
    </row>
    <row r="72" spans="2:14" ht="12.75">
      <c r="B72" s="96" t="s">
        <v>247</v>
      </c>
      <c r="C72" s="15"/>
      <c r="D72" s="15"/>
      <c r="E72" s="106" t="e">
        <f>VLOOKUP(B4,'All Schools'!$B$5:$CK$95,87,0)</f>
        <v>#N/A</v>
      </c>
      <c r="G72" s="72">
        <v>20</v>
      </c>
      <c r="M72" s="7" t="s">
        <v>95</v>
      </c>
      <c r="N72" s="90">
        <v>5208</v>
      </c>
    </row>
    <row r="73" spans="2:14" ht="12.75">
      <c r="B73" s="107" t="s">
        <v>248</v>
      </c>
      <c r="C73" s="19"/>
      <c r="D73" s="19"/>
      <c r="E73" s="79" t="e">
        <f>VLOOKUP(B4,'All Schools'!$B$5:$CK$95,88,0)</f>
        <v>#N/A</v>
      </c>
      <c r="G73" s="72">
        <v>21</v>
      </c>
      <c r="M73" s="59" t="s">
        <v>29</v>
      </c>
      <c r="N73" s="90">
        <v>3402</v>
      </c>
    </row>
    <row r="74" spans="13:14" ht="12.75">
      <c r="M74" s="66" t="s">
        <v>144</v>
      </c>
      <c r="N74" s="90">
        <v>2035</v>
      </c>
    </row>
    <row r="75" spans="2:14" ht="12.75">
      <c r="B75" s="102" t="s">
        <v>226</v>
      </c>
      <c r="C75" s="108"/>
      <c r="D75" s="108"/>
      <c r="E75" s="103" t="e">
        <f>VLOOKUP(B4,'All Schools'!$B$5:$CK$95,86,0)</f>
        <v>#N/A</v>
      </c>
      <c r="G75" s="72">
        <v>22</v>
      </c>
      <c r="M75" s="7" t="s">
        <v>31</v>
      </c>
      <c r="N75" s="90">
        <v>3404</v>
      </c>
    </row>
    <row r="76" spans="13:14" ht="12.75">
      <c r="M76" s="66" t="s">
        <v>125</v>
      </c>
      <c r="N76" s="90">
        <v>3306</v>
      </c>
    </row>
    <row r="77" spans="13:14" ht="12.75">
      <c r="M77" s="66" t="s">
        <v>150</v>
      </c>
      <c r="N77" s="90">
        <v>3400</v>
      </c>
    </row>
    <row r="78" spans="13:14" ht="12.75">
      <c r="M78" s="7" t="s">
        <v>30</v>
      </c>
      <c r="N78" s="90">
        <v>3403</v>
      </c>
    </row>
    <row r="79" spans="13:14" ht="12.75">
      <c r="M79" s="7" t="s">
        <v>184</v>
      </c>
      <c r="N79" s="90">
        <v>5410</v>
      </c>
    </row>
    <row r="80" spans="13:14" ht="12.75">
      <c r="M80" s="7" t="s">
        <v>123</v>
      </c>
      <c r="N80" s="90">
        <v>2004</v>
      </c>
    </row>
    <row r="81" spans="13:14" ht="12.75">
      <c r="M81" s="7" t="s">
        <v>48</v>
      </c>
      <c r="N81" s="90">
        <v>5408</v>
      </c>
    </row>
    <row r="82" spans="13:14" ht="12.75">
      <c r="M82" s="66" t="s">
        <v>183</v>
      </c>
      <c r="N82" s="90">
        <v>4014</v>
      </c>
    </row>
    <row r="83" spans="13:14" ht="12.75">
      <c r="M83" s="7" t="s">
        <v>130</v>
      </c>
      <c r="N83" s="90">
        <v>6906</v>
      </c>
    </row>
    <row r="84" spans="13:14" ht="12.75">
      <c r="M84" s="7" t="s">
        <v>45</v>
      </c>
      <c r="N84" s="90">
        <v>5404</v>
      </c>
    </row>
    <row r="85" spans="13:14" ht="12.75">
      <c r="M85" s="7" t="s">
        <v>97</v>
      </c>
      <c r="N85" s="90">
        <v>5402</v>
      </c>
    </row>
    <row r="86" spans="13:14" ht="12.75">
      <c r="M86" s="66" t="s">
        <v>92</v>
      </c>
      <c r="N86" s="90">
        <v>2065</v>
      </c>
    </row>
    <row r="87" spans="13:14" ht="12.75">
      <c r="M87" s="7" t="s">
        <v>191</v>
      </c>
      <c r="N87" s="90">
        <v>2051</v>
      </c>
    </row>
    <row r="88" spans="13:14" ht="12.75">
      <c r="M88" s="66" t="s">
        <v>21</v>
      </c>
      <c r="N88" s="90">
        <v>2069</v>
      </c>
    </row>
    <row r="89" spans="13:14" ht="12.75">
      <c r="M89" s="7" t="s">
        <v>16</v>
      </c>
      <c r="N89" s="90">
        <v>2052</v>
      </c>
    </row>
    <row r="90" spans="13:14" ht="12.75">
      <c r="M90" s="70" t="s">
        <v>189</v>
      </c>
      <c r="N90" s="90">
        <v>2074</v>
      </c>
    </row>
    <row r="91" spans="13:14" ht="12.75">
      <c r="M91" s="7" t="s">
        <v>17</v>
      </c>
      <c r="N91" s="90">
        <v>2054</v>
      </c>
    </row>
    <row r="92" spans="13:14" ht="12.75">
      <c r="M92" s="66" t="s">
        <v>190</v>
      </c>
      <c r="N92" s="90">
        <v>2049</v>
      </c>
    </row>
    <row r="93" spans="13:14" ht="12.75">
      <c r="M93" s="66" t="s">
        <v>40</v>
      </c>
      <c r="N93" s="90">
        <v>2082</v>
      </c>
    </row>
    <row r="94" spans="13:14" ht="12.75">
      <c r="M94" s="7" t="s">
        <v>90</v>
      </c>
      <c r="N94" s="90">
        <v>2060</v>
      </c>
    </row>
    <row r="95" spans="13:14" ht="12.75">
      <c r="M95" s="7" t="s">
        <v>18</v>
      </c>
      <c r="N95" s="90">
        <v>2059</v>
      </c>
    </row>
  </sheetData>
  <sheetProtection/>
  <conditionalFormatting sqref="N52">
    <cfRule type="duplicateValues" priority="1" dxfId="0">
      <formula>AND(COUNTIF($N$52:$N$52,N52)&gt;1,NOT(ISBLANK(N52)))</formula>
    </cfRule>
  </conditionalFormatting>
  <conditionalFormatting sqref="N5:N51 N53:N95">
    <cfRule type="duplicateValues" priority="10" dxfId="0">
      <formula>AND(COUNTIF($N$5:$N$51,N5)+COUNTIF($N$53:$N$95,N5)&gt;1,NOT(ISBLANK(N5)))</formula>
    </cfRule>
  </conditionalFormatting>
  <dataValidations count="1">
    <dataValidation type="list" allowBlank="1" showInputMessage="1" showErrorMessage="1" promptTitle="Please select school" sqref="B3">
      <formula1>$M$4:$M$100</formula1>
    </dataValidation>
  </dataValidations>
  <printOptions/>
  <pageMargins left="0.35433070866141736" right="0.35433070866141736" top="0.3937007874015748" bottom="0.3937007874015748"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CL180"/>
  <sheetViews>
    <sheetView zoomScalePageLayoutView="0" workbookViewId="0" topLeftCell="A1">
      <pane xSplit="3" ySplit="4" topLeftCell="CC5" activePane="bottomRight" state="frozen"/>
      <selection pane="topLeft" activeCell="A1" sqref="A1"/>
      <selection pane="topRight" activeCell="D1" sqref="D1"/>
      <selection pane="bottomLeft" activeCell="A5" sqref="A5"/>
      <selection pane="bottomRight" activeCell="CK93" sqref="CK93"/>
    </sheetView>
  </sheetViews>
  <sheetFormatPr defaultColWidth="9.140625" defaultRowHeight="12.75"/>
  <cols>
    <col min="1" max="1" width="9.7109375" style="89" hidden="1" customWidth="1"/>
    <col min="2" max="2" width="10.57421875" style="183" customWidth="1"/>
    <col min="3" max="3" width="55.8515625" style="89" customWidth="1"/>
    <col min="4" max="28" width="14.421875" style="170" customWidth="1"/>
    <col min="29" max="57" width="14.421875" style="165" customWidth="1"/>
    <col min="58" max="61" width="15.8515625" style="165" customWidth="1"/>
    <col min="62" max="62" width="15.8515625" style="166" customWidth="1"/>
    <col min="63" max="65" width="15.8515625" style="164" customWidth="1"/>
    <col min="66" max="67" width="14.421875" style="164" customWidth="1"/>
    <col min="68" max="68" width="14.421875" style="167" customWidth="1"/>
    <col min="69" max="70" width="14.421875" style="164" customWidth="1"/>
    <col min="71" max="71" width="16.7109375" style="170" customWidth="1"/>
    <col min="72" max="73" width="14.421875" style="164" customWidth="1"/>
    <col min="74" max="74" width="15.8515625" style="171" customWidth="1"/>
    <col min="75" max="75" width="16.57421875" style="0" customWidth="1"/>
    <col min="76" max="77" width="16.7109375" style="0" customWidth="1"/>
    <col min="78" max="79" width="14.421875" style="0" customWidth="1"/>
    <col min="80" max="80" width="14.57421875" style="0" customWidth="1"/>
    <col min="81" max="81" width="3.421875" style="0" customWidth="1"/>
    <col min="82" max="82" width="14.57421875" style="0" customWidth="1"/>
    <col min="83" max="85" width="13.140625" style="0" customWidth="1"/>
    <col min="86" max="86" width="14.00390625" style="0" bestFit="1" customWidth="1"/>
    <col min="87" max="87" width="13.140625" style="0" customWidth="1"/>
    <col min="88" max="89" width="14.00390625" style="0" customWidth="1"/>
    <col min="90" max="90" width="11.28125" style="0" bestFit="1" customWidth="1"/>
  </cols>
  <sheetData>
    <row r="1" spans="1:89" s="8" customFormat="1" ht="18.75" thickBot="1">
      <c r="A1" s="181"/>
      <c r="B1" s="63" t="s">
        <v>235</v>
      </c>
      <c r="C1" s="181"/>
      <c r="D1" s="182">
        <v>3</v>
      </c>
      <c r="E1" s="182">
        <v>4</v>
      </c>
      <c r="F1" s="182">
        <v>5</v>
      </c>
      <c r="G1" s="182">
        <v>6</v>
      </c>
      <c r="H1" s="182">
        <v>7</v>
      </c>
      <c r="I1" s="182">
        <v>8</v>
      </c>
      <c r="J1" s="182">
        <v>9</v>
      </c>
      <c r="K1" s="182">
        <v>10</v>
      </c>
      <c r="L1" s="182">
        <v>11</v>
      </c>
      <c r="M1" s="182">
        <v>12</v>
      </c>
      <c r="N1" s="182">
        <v>13</v>
      </c>
      <c r="O1" s="182">
        <v>14</v>
      </c>
      <c r="P1" s="182">
        <v>15</v>
      </c>
      <c r="Q1" s="182">
        <v>16</v>
      </c>
      <c r="R1" s="182">
        <v>17</v>
      </c>
      <c r="S1" s="182">
        <v>18</v>
      </c>
      <c r="T1" s="182">
        <v>19</v>
      </c>
      <c r="U1" s="182">
        <v>20</v>
      </c>
      <c r="V1" s="182">
        <v>21</v>
      </c>
      <c r="W1" s="182">
        <v>22</v>
      </c>
      <c r="X1" s="182">
        <v>23</v>
      </c>
      <c r="Y1" s="182">
        <v>24</v>
      </c>
      <c r="Z1" s="182">
        <v>25</v>
      </c>
      <c r="AA1" s="182">
        <v>26</v>
      </c>
      <c r="AB1" s="182">
        <v>27</v>
      </c>
      <c r="AC1" s="182">
        <v>28</v>
      </c>
      <c r="AD1" s="182">
        <v>29</v>
      </c>
      <c r="AE1" s="182">
        <v>30</v>
      </c>
      <c r="AF1" s="182">
        <v>31</v>
      </c>
      <c r="AG1" s="182">
        <v>32</v>
      </c>
      <c r="AH1" s="182">
        <v>33</v>
      </c>
      <c r="AI1" s="182">
        <v>34</v>
      </c>
      <c r="AJ1" s="182">
        <v>35</v>
      </c>
      <c r="AK1" s="182">
        <v>36</v>
      </c>
      <c r="AL1" s="182">
        <v>37</v>
      </c>
      <c r="AM1" s="182">
        <v>38</v>
      </c>
      <c r="AN1" s="182">
        <v>39</v>
      </c>
      <c r="AO1" s="182">
        <v>40</v>
      </c>
      <c r="AP1" s="182">
        <v>41</v>
      </c>
      <c r="AQ1" s="182">
        <v>42</v>
      </c>
      <c r="AR1" s="182">
        <v>43</v>
      </c>
      <c r="AS1" s="182">
        <v>44</v>
      </c>
      <c r="AT1" s="182">
        <v>45</v>
      </c>
      <c r="AU1" s="182">
        <v>46</v>
      </c>
      <c r="AV1" s="182">
        <v>47</v>
      </c>
      <c r="AW1" s="182">
        <v>48</v>
      </c>
      <c r="AX1" s="182">
        <v>49</v>
      </c>
      <c r="AY1" s="182">
        <v>50</v>
      </c>
      <c r="AZ1" s="182">
        <v>51</v>
      </c>
      <c r="BA1" s="182">
        <v>52</v>
      </c>
      <c r="BB1" s="182">
        <v>53</v>
      </c>
      <c r="BC1" s="182">
        <v>54</v>
      </c>
      <c r="BD1" s="182">
        <v>55</v>
      </c>
      <c r="BE1" s="182">
        <v>56</v>
      </c>
      <c r="BF1" s="182">
        <v>57</v>
      </c>
      <c r="BG1" s="182">
        <v>58</v>
      </c>
      <c r="BH1" s="182">
        <v>59</v>
      </c>
      <c r="BI1" s="182">
        <v>60</v>
      </c>
      <c r="BJ1" s="182">
        <v>61</v>
      </c>
      <c r="BK1" s="182">
        <v>62</v>
      </c>
      <c r="BL1" s="182">
        <v>63</v>
      </c>
      <c r="BM1" s="182">
        <v>64</v>
      </c>
      <c r="BN1" s="182">
        <v>65</v>
      </c>
      <c r="BO1" s="182">
        <v>66</v>
      </c>
      <c r="BP1" s="182">
        <v>67</v>
      </c>
      <c r="BQ1" s="182">
        <v>68</v>
      </c>
      <c r="BR1" s="182">
        <v>69</v>
      </c>
      <c r="BS1" s="182">
        <v>70</v>
      </c>
      <c r="BT1" s="182">
        <v>71</v>
      </c>
      <c r="BU1" s="182">
        <v>72</v>
      </c>
      <c r="BV1" s="182">
        <v>73</v>
      </c>
      <c r="BW1" s="182"/>
      <c r="BX1" s="182">
        <v>75</v>
      </c>
      <c r="BY1" s="182">
        <v>76</v>
      </c>
      <c r="BZ1" s="182">
        <v>77</v>
      </c>
      <c r="CA1" s="182">
        <v>78</v>
      </c>
      <c r="CB1" s="182">
        <v>79</v>
      </c>
      <c r="CC1" s="182"/>
      <c r="CD1" s="182">
        <v>81</v>
      </c>
      <c r="CE1" s="182">
        <v>82</v>
      </c>
      <c r="CF1" s="182">
        <v>83</v>
      </c>
      <c r="CG1" s="182">
        <v>84</v>
      </c>
      <c r="CH1" s="182">
        <v>85</v>
      </c>
      <c r="CI1" s="182">
        <v>86</v>
      </c>
      <c r="CJ1" s="182">
        <v>87</v>
      </c>
      <c r="CK1" s="182">
        <v>88</v>
      </c>
    </row>
    <row r="2" spans="3:89" ht="13.5" hidden="1" thickBot="1">
      <c r="C2" s="183"/>
      <c r="D2" s="184">
        <v>3</v>
      </c>
      <c r="E2" s="184">
        <v>4</v>
      </c>
      <c r="F2" s="184">
        <v>5</v>
      </c>
      <c r="G2" s="184">
        <v>6</v>
      </c>
      <c r="H2" s="184">
        <v>7</v>
      </c>
      <c r="I2" s="184">
        <v>8</v>
      </c>
      <c r="J2" s="184">
        <v>9</v>
      </c>
      <c r="K2" s="184">
        <v>10</v>
      </c>
      <c r="L2" s="184">
        <v>11</v>
      </c>
      <c r="M2" s="184">
        <v>12</v>
      </c>
      <c r="N2" s="184">
        <v>13</v>
      </c>
      <c r="O2" s="184">
        <v>14</v>
      </c>
      <c r="P2" s="184">
        <v>15</v>
      </c>
      <c r="Q2" s="184">
        <v>16</v>
      </c>
      <c r="R2" s="184">
        <v>17</v>
      </c>
      <c r="S2" s="184">
        <v>18</v>
      </c>
      <c r="T2" s="184">
        <v>19</v>
      </c>
      <c r="U2" s="184">
        <v>20</v>
      </c>
      <c r="V2" s="184">
        <v>21</v>
      </c>
      <c r="W2" s="184">
        <v>22</v>
      </c>
      <c r="X2" s="184">
        <v>23</v>
      </c>
      <c r="Y2" s="184">
        <v>24</v>
      </c>
      <c r="Z2" s="184">
        <v>25</v>
      </c>
      <c r="AA2" s="184">
        <v>26</v>
      </c>
      <c r="AB2" s="184">
        <v>27</v>
      </c>
      <c r="AC2" s="137">
        <v>28</v>
      </c>
      <c r="AD2" s="137">
        <v>29</v>
      </c>
      <c r="AE2" s="137">
        <v>30</v>
      </c>
      <c r="AF2" s="137">
        <v>31</v>
      </c>
      <c r="AG2" s="137">
        <v>32</v>
      </c>
      <c r="AH2" s="137">
        <v>33</v>
      </c>
      <c r="AI2" s="137">
        <v>34</v>
      </c>
      <c r="AJ2" s="137">
        <v>35</v>
      </c>
      <c r="AK2" s="137">
        <v>36</v>
      </c>
      <c r="AL2" s="137">
        <v>37</v>
      </c>
      <c r="AM2" s="137">
        <v>38</v>
      </c>
      <c r="AN2" s="137">
        <v>39</v>
      </c>
      <c r="AO2" s="137">
        <v>40</v>
      </c>
      <c r="AP2" s="137">
        <v>41</v>
      </c>
      <c r="AQ2" s="137">
        <v>42</v>
      </c>
      <c r="AR2" s="137">
        <v>43</v>
      </c>
      <c r="AS2" s="137">
        <v>44</v>
      </c>
      <c r="AT2" s="137">
        <v>45</v>
      </c>
      <c r="AU2" s="137">
        <v>46</v>
      </c>
      <c r="AV2" s="137">
        <v>47</v>
      </c>
      <c r="AW2" s="137">
        <v>48</v>
      </c>
      <c r="AX2" s="137">
        <v>49</v>
      </c>
      <c r="AY2" s="137">
        <v>50</v>
      </c>
      <c r="AZ2" s="137">
        <v>51</v>
      </c>
      <c r="BA2" s="137">
        <v>52</v>
      </c>
      <c r="BB2" s="137">
        <v>53</v>
      </c>
      <c r="BC2" s="137">
        <v>54</v>
      </c>
      <c r="BD2" s="137">
        <v>55</v>
      </c>
      <c r="BE2" s="137">
        <v>56</v>
      </c>
      <c r="BF2" s="137">
        <v>57</v>
      </c>
      <c r="BG2" s="137">
        <v>58</v>
      </c>
      <c r="BH2" s="137">
        <v>59</v>
      </c>
      <c r="BI2" s="137">
        <v>60</v>
      </c>
      <c r="BJ2" s="137">
        <v>61</v>
      </c>
      <c r="BK2" s="137">
        <v>62</v>
      </c>
      <c r="BL2" s="137">
        <v>63</v>
      </c>
      <c r="BM2" s="137">
        <v>64</v>
      </c>
      <c r="BN2" s="137">
        <v>65</v>
      </c>
      <c r="BO2" s="137">
        <v>66</v>
      </c>
      <c r="BP2" s="137">
        <v>67</v>
      </c>
      <c r="BQ2" s="137">
        <v>68</v>
      </c>
      <c r="BR2" s="137">
        <v>69</v>
      </c>
      <c r="BS2" s="137">
        <v>70</v>
      </c>
      <c r="BT2" s="137">
        <v>71</v>
      </c>
      <c r="BU2" s="137">
        <v>72</v>
      </c>
      <c r="BV2" s="137">
        <v>73</v>
      </c>
      <c r="BW2" s="4"/>
      <c r="BX2" s="4">
        <v>75</v>
      </c>
      <c r="BY2" s="4">
        <v>76</v>
      </c>
      <c r="BZ2" s="4">
        <v>77</v>
      </c>
      <c r="CA2" s="4">
        <v>78</v>
      </c>
      <c r="CB2" s="4">
        <v>79</v>
      </c>
      <c r="CD2" s="4">
        <v>81</v>
      </c>
      <c r="CE2" s="4">
        <v>82</v>
      </c>
      <c r="CF2" s="4">
        <v>83</v>
      </c>
      <c r="CG2" s="4">
        <v>84</v>
      </c>
      <c r="CH2" s="4">
        <v>85</v>
      </c>
      <c r="CI2" s="4">
        <v>86</v>
      </c>
      <c r="CJ2" s="4">
        <v>87</v>
      </c>
      <c r="CK2" s="4">
        <v>88</v>
      </c>
    </row>
    <row r="3" spans="4:89" ht="13.5" thickBot="1">
      <c r="D3" s="225" t="s">
        <v>69</v>
      </c>
      <c r="E3" s="226"/>
      <c r="F3" s="226"/>
      <c r="G3" s="226"/>
      <c r="H3" s="226"/>
      <c r="I3" s="226"/>
      <c r="J3" s="226"/>
      <c r="K3" s="226"/>
      <c r="L3" s="226"/>
      <c r="M3" s="226"/>
      <c r="N3" s="226"/>
      <c r="O3" s="226"/>
      <c r="P3" s="226"/>
      <c r="Q3" s="226"/>
      <c r="R3" s="226"/>
      <c r="S3" s="226"/>
      <c r="T3" s="226"/>
      <c r="U3" s="226"/>
      <c r="V3" s="226"/>
      <c r="W3" s="226"/>
      <c r="X3" s="226"/>
      <c r="Y3" s="226"/>
      <c r="Z3" s="226"/>
      <c r="AA3" s="226"/>
      <c r="AB3" s="226"/>
      <c r="AC3" s="138">
        <v>3437.28</v>
      </c>
      <c r="AD3" s="139">
        <v>4456.98</v>
      </c>
      <c r="AE3" s="139">
        <v>5093.68</v>
      </c>
      <c r="AF3" s="139">
        <v>1031.14</v>
      </c>
      <c r="AG3" s="139">
        <v>1340.48</v>
      </c>
      <c r="AH3" s="139">
        <v>67.4</v>
      </c>
      <c r="AI3" s="139">
        <v>134.8</v>
      </c>
      <c r="AJ3" s="139">
        <v>202.21</v>
      </c>
      <c r="AK3" s="139">
        <v>269.61</v>
      </c>
      <c r="AL3" s="139">
        <v>337.01</v>
      </c>
      <c r="AM3" s="139">
        <v>404.41</v>
      </c>
      <c r="AN3" s="139">
        <v>87.62</v>
      </c>
      <c r="AO3" s="139">
        <v>175.25</v>
      </c>
      <c r="AP3" s="139">
        <v>262.87</v>
      </c>
      <c r="AQ3" s="139">
        <v>350.49</v>
      </c>
      <c r="AR3" s="139">
        <v>438.11</v>
      </c>
      <c r="AS3" s="139">
        <v>525.74</v>
      </c>
      <c r="AT3" s="139">
        <v>768.64</v>
      </c>
      <c r="AU3" s="139">
        <v>1158.19</v>
      </c>
      <c r="AV3" s="139">
        <v>613.6</v>
      </c>
      <c r="AW3" s="139">
        <v>1716</v>
      </c>
      <c r="AX3" s="139">
        <v>832</v>
      </c>
      <c r="AY3" s="139">
        <v>1248</v>
      </c>
      <c r="AZ3" s="139">
        <v>140000</v>
      </c>
      <c r="BA3" s="140"/>
      <c r="BB3" s="140"/>
      <c r="BC3" s="139">
        <v>100000</v>
      </c>
      <c r="BD3" s="139">
        <v>915640</v>
      </c>
      <c r="BE3" s="140"/>
      <c r="BF3" s="140"/>
      <c r="BG3" s="140"/>
      <c r="BH3" s="140"/>
      <c r="BI3" s="140"/>
      <c r="BJ3" s="141"/>
      <c r="BK3" s="141"/>
      <c r="BL3" s="141"/>
      <c r="BM3" s="142"/>
      <c r="BN3" s="142"/>
      <c r="BO3" s="141"/>
      <c r="BP3" s="143"/>
      <c r="BQ3" s="141"/>
      <c r="BR3" s="141"/>
      <c r="BS3" s="144"/>
      <c r="BT3" s="139">
        <v>2.19</v>
      </c>
      <c r="BU3" s="139">
        <v>1.22</v>
      </c>
      <c r="BV3" s="145"/>
      <c r="BX3" s="230" t="s">
        <v>153</v>
      </c>
      <c r="BY3" s="231"/>
      <c r="BZ3" s="231"/>
      <c r="CA3" s="231"/>
      <c r="CB3" s="232"/>
      <c r="CD3" s="227" t="s">
        <v>213</v>
      </c>
      <c r="CE3" s="228"/>
      <c r="CF3" s="228"/>
      <c r="CG3" s="228"/>
      <c r="CH3" s="228"/>
      <c r="CI3" s="228"/>
      <c r="CJ3" s="228"/>
      <c r="CK3" s="229"/>
    </row>
    <row r="4" spans="1:89" s="5" customFormat="1" ht="51.75" thickBot="1">
      <c r="A4" s="134" t="s">
        <v>70</v>
      </c>
      <c r="B4" s="135" t="s">
        <v>70</v>
      </c>
      <c r="C4" s="136" t="s">
        <v>1</v>
      </c>
      <c r="D4" s="146" t="s">
        <v>2</v>
      </c>
      <c r="E4" s="146" t="s">
        <v>249</v>
      </c>
      <c r="F4" s="146" t="s">
        <v>250</v>
      </c>
      <c r="G4" s="146" t="s">
        <v>251</v>
      </c>
      <c r="H4" s="146" t="s">
        <v>252</v>
      </c>
      <c r="I4" s="146" t="s">
        <v>181</v>
      </c>
      <c r="J4" s="146" t="s">
        <v>155</v>
      </c>
      <c r="K4" s="146" t="s">
        <v>169</v>
      </c>
      <c r="L4" s="146" t="s">
        <v>170</v>
      </c>
      <c r="M4" s="146" t="s">
        <v>171</v>
      </c>
      <c r="N4" s="146" t="s">
        <v>172</v>
      </c>
      <c r="O4" s="146" t="s">
        <v>173</v>
      </c>
      <c r="P4" s="146" t="s">
        <v>174</v>
      </c>
      <c r="Q4" s="146" t="s">
        <v>175</v>
      </c>
      <c r="R4" s="146" t="s">
        <v>176</v>
      </c>
      <c r="S4" s="146" t="s">
        <v>177</v>
      </c>
      <c r="T4" s="146" t="s">
        <v>178</v>
      </c>
      <c r="U4" s="146" t="s">
        <v>179</v>
      </c>
      <c r="V4" s="146" t="s">
        <v>180</v>
      </c>
      <c r="W4" s="146" t="s">
        <v>211</v>
      </c>
      <c r="X4" s="146" t="s">
        <v>212</v>
      </c>
      <c r="Y4" s="146" t="s">
        <v>101</v>
      </c>
      <c r="Z4" s="146" t="s">
        <v>105</v>
      </c>
      <c r="AA4" s="146" t="s">
        <v>102</v>
      </c>
      <c r="AB4" s="146" t="s">
        <v>103</v>
      </c>
      <c r="AC4" s="147" t="s">
        <v>71</v>
      </c>
      <c r="AD4" s="147" t="s">
        <v>72</v>
      </c>
      <c r="AE4" s="147" t="s">
        <v>73</v>
      </c>
      <c r="AF4" s="147" t="s">
        <v>146</v>
      </c>
      <c r="AG4" s="147" t="s">
        <v>168</v>
      </c>
      <c r="AH4" s="147" t="s">
        <v>169</v>
      </c>
      <c r="AI4" s="147" t="s">
        <v>170</v>
      </c>
      <c r="AJ4" s="147" t="s">
        <v>171</v>
      </c>
      <c r="AK4" s="147" t="s">
        <v>172</v>
      </c>
      <c r="AL4" s="147" t="s">
        <v>173</v>
      </c>
      <c r="AM4" s="147" t="s">
        <v>174</v>
      </c>
      <c r="AN4" s="147" t="s">
        <v>175</v>
      </c>
      <c r="AO4" s="147" t="s">
        <v>176</v>
      </c>
      <c r="AP4" s="147" t="s">
        <v>177</v>
      </c>
      <c r="AQ4" s="147" t="s">
        <v>178</v>
      </c>
      <c r="AR4" s="147" t="s">
        <v>179</v>
      </c>
      <c r="AS4" s="147" t="s">
        <v>180</v>
      </c>
      <c r="AT4" s="147" t="s">
        <v>52</v>
      </c>
      <c r="AU4" s="147" t="s">
        <v>53</v>
      </c>
      <c r="AV4" s="147" t="s">
        <v>50</v>
      </c>
      <c r="AW4" s="147" t="s">
        <v>51</v>
      </c>
      <c r="AX4" s="147" t="s">
        <v>54</v>
      </c>
      <c r="AY4" s="147" t="s">
        <v>55</v>
      </c>
      <c r="AZ4" s="147" t="s">
        <v>56</v>
      </c>
      <c r="BA4" s="147" t="s">
        <v>254</v>
      </c>
      <c r="BB4" s="147" t="s">
        <v>236</v>
      </c>
      <c r="BC4" s="147" t="s">
        <v>57</v>
      </c>
      <c r="BD4" s="147" t="s">
        <v>59</v>
      </c>
      <c r="BE4" s="147" t="s">
        <v>237</v>
      </c>
      <c r="BF4" s="147" t="s">
        <v>60</v>
      </c>
      <c r="BG4" s="147" t="s">
        <v>61</v>
      </c>
      <c r="BH4" s="147" t="s">
        <v>109</v>
      </c>
      <c r="BI4" s="147" t="s">
        <v>127</v>
      </c>
      <c r="BJ4" s="148" t="s">
        <v>62</v>
      </c>
      <c r="BK4" s="148" t="s">
        <v>63</v>
      </c>
      <c r="BL4" s="148" t="s">
        <v>64</v>
      </c>
      <c r="BM4" s="148" t="s">
        <v>238</v>
      </c>
      <c r="BN4" s="148" t="s">
        <v>239</v>
      </c>
      <c r="BO4" s="148" t="s">
        <v>209</v>
      </c>
      <c r="BP4" s="149" t="s">
        <v>65</v>
      </c>
      <c r="BQ4" s="148" t="s">
        <v>66</v>
      </c>
      <c r="BR4" s="148" t="s">
        <v>240</v>
      </c>
      <c r="BS4" s="146" t="s">
        <v>67</v>
      </c>
      <c r="BT4" s="148" t="s">
        <v>68</v>
      </c>
      <c r="BU4" s="148" t="s">
        <v>182</v>
      </c>
      <c r="BV4" s="150" t="s">
        <v>0</v>
      </c>
      <c r="BX4" s="202" t="s">
        <v>137</v>
      </c>
      <c r="BY4" s="203" t="s">
        <v>232</v>
      </c>
      <c r="BZ4" s="203" t="s">
        <v>147</v>
      </c>
      <c r="CA4" s="203" t="s">
        <v>241</v>
      </c>
      <c r="CB4" s="204" t="s">
        <v>148</v>
      </c>
      <c r="CD4" s="196" t="s">
        <v>214</v>
      </c>
      <c r="CE4" s="197" t="s">
        <v>215</v>
      </c>
      <c r="CF4" s="197" t="s">
        <v>216</v>
      </c>
      <c r="CG4" s="198" t="s">
        <v>217</v>
      </c>
      <c r="CH4" s="198" t="s">
        <v>218</v>
      </c>
      <c r="CI4" s="197" t="s">
        <v>219</v>
      </c>
      <c r="CJ4" s="197" t="s">
        <v>242</v>
      </c>
      <c r="CK4" s="199" t="s">
        <v>243</v>
      </c>
    </row>
    <row r="5" spans="1:90" ht="14.25">
      <c r="A5" s="185">
        <v>3122001</v>
      </c>
      <c r="B5" s="186">
        <v>2001</v>
      </c>
      <c r="C5" s="133" t="s">
        <v>149</v>
      </c>
      <c r="D5" s="187">
        <v>561</v>
      </c>
      <c r="E5" s="187">
        <v>561</v>
      </c>
      <c r="F5" s="187">
        <v>0</v>
      </c>
      <c r="G5" s="187">
        <v>0</v>
      </c>
      <c r="H5" s="187">
        <v>0</v>
      </c>
      <c r="I5" s="187">
        <v>162.2294776119403</v>
      </c>
      <c r="J5" s="187">
        <v>0</v>
      </c>
      <c r="K5" s="187">
        <v>146.9999999999998</v>
      </c>
      <c r="L5" s="187">
        <v>76.99999999999982</v>
      </c>
      <c r="M5" s="187">
        <v>95.99999999999976</v>
      </c>
      <c r="N5" s="187">
        <v>158.99999999999991</v>
      </c>
      <c r="O5" s="187">
        <v>22.999999999999996</v>
      </c>
      <c r="P5" s="187">
        <v>0</v>
      </c>
      <c r="Q5" s="187">
        <v>0</v>
      </c>
      <c r="R5" s="187">
        <v>0</v>
      </c>
      <c r="S5" s="187">
        <v>0</v>
      </c>
      <c r="T5" s="187">
        <v>0</v>
      </c>
      <c r="U5" s="187">
        <v>0</v>
      </c>
      <c r="V5" s="187">
        <v>0</v>
      </c>
      <c r="W5" s="187">
        <v>190.5732484076435</v>
      </c>
      <c r="X5" s="187">
        <v>0</v>
      </c>
      <c r="Y5" s="187">
        <v>160.46910755148735</v>
      </c>
      <c r="Z5" s="187">
        <v>0</v>
      </c>
      <c r="AA5" s="187">
        <v>12.339999999999996</v>
      </c>
      <c r="AB5" s="187">
        <v>0</v>
      </c>
      <c r="AC5" s="174">
        <f>E5*$AC$3</f>
        <v>1928314.08</v>
      </c>
      <c r="AD5" s="174">
        <f>G5*$AD$3</f>
        <v>0</v>
      </c>
      <c r="AE5" s="174">
        <f>H5*$AE$3</f>
        <v>0</v>
      </c>
      <c r="AF5" s="175">
        <f>I5*$AF$3</f>
        <v>167281.30354477614</v>
      </c>
      <c r="AG5" s="175">
        <f>J5*$AG$3</f>
        <v>0</v>
      </c>
      <c r="AH5" s="175">
        <f>K5*$AH$3</f>
        <v>9907.799999999987</v>
      </c>
      <c r="AI5" s="175">
        <f>L5*$AI$3</f>
        <v>10379.599999999977</v>
      </c>
      <c r="AJ5" s="175">
        <f>M5*$AJ$3</f>
        <v>19412.159999999953</v>
      </c>
      <c r="AK5" s="175">
        <f>N5*$AK$3</f>
        <v>42867.989999999976</v>
      </c>
      <c r="AL5" s="175">
        <f>O5*$AL$3</f>
        <v>7751.229999999999</v>
      </c>
      <c r="AM5" s="175">
        <f>P5*$AM$3</f>
        <v>0</v>
      </c>
      <c r="AN5" s="175">
        <f>Q5*$AN$3</f>
        <v>0</v>
      </c>
      <c r="AO5" s="175">
        <f>R5*$AO$3</f>
        <v>0</v>
      </c>
      <c r="AP5" s="175">
        <f>S5*$AP$3</f>
        <v>0</v>
      </c>
      <c r="AQ5" s="175">
        <f>T5*$AQ$3</f>
        <v>0</v>
      </c>
      <c r="AR5" s="175">
        <f>U5*$AR$3</f>
        <v>0</v>
      </c>
      <c r="AS5" s="175">
        <f>V5*$AS$3</f>
        <v>0</v>
      </c>
      <c r="AT5" s="175">
        <f>W5*$AT$3</f>
        <v>146482.2216560511</v>
      </c>
      <c r="AU5" s="175">
        <f>X5*$AU$3</f>
        <v>0</v>
      </c>
      <c r="AV5" s="175">
        <f>Y5*$AV$3</f>
        <v>98463.84439359265</v>
      </c>
      <c r="AW5" s="175">
        <f>Z5*$AW$3</f>
        <v>0</v>
      </c>
      <c r="AX5" s="175">
        <f>AA5*$AX$3</f>
        <v>10266.879999999997</v>
      </c>
      <c r="AY5" s="175">
        <f>AB5*$AY$3</f>
        <v>0</v>
      </c>
      <c r="AZ5" s="175">
        <v>140000</v>
      </c>
      <c r="BA5" s="175">
        <v>11000</v>
      </c>
      <c r="BB5" s="175">
        <v>-993.52</v>
      </c>
      <c r="BC5" s="175"/>
      <c r="BD5" s="175"/>
      <c r="BE5" s="175"/>
      <c r="BF5" s="175">
        <f>SUM(AC5:AE5)</f>
        <v>1928314.08</v>
      </c>
      <c r="BG5" s="175">
        <f>SUM(AF5:AY5)</f>
        <v>512813.02959441976</v>
      </c>
      <c r="BH5" s="175">
        <f>SUM(AZ5:BE5)</f>
        <v>150006.48</v>
      </c>
      <c r="BI5" s="175">
        <f>SUM(AV5:AW5)</f>
        <v>98463.84439359265</v>
      </c>
      <c r="BJ5" s="176">
        <f>BF5+BG5+BH5</f>
        <v>2591133.5895944196</v>
      </c>
      <c r="BK5" s="176">
        <v>2591133.5895944196</v>
      </c>
      <c r="BL5" s="176">
        <v>0</v>
      </c>
      <c r="BM5" s="176">
        <v>2441127.1095944196</v>
      </c>
      <c r="BN5" s="176">
        <v>4351.38522209344</v>
      </c>
      <c r="BO5" s="176">
        <v>4088.581917311234</v>
      </c>
      <c r="BP5" s="177">
        <v>0.06427737296138909</v>
      </c>
      <c r="BQ5" s="177">
        <v>0</v>
      </c>
      <c r="BR5" s="176">
        <v>0</v>
      </c>
      <c r="BS5" s="178">
        <f>BJ5+BR5</f>
        <v>2591133.5895944196</v>
      </c>
      <c r="BT5" s="175">
        <v>0</v>
      </c>
      <c r="BU5" s="175">
        <v>0</v>
      </c>
      <c r="BV5" s="179">
        <f>SUM(BS5:BU5)</f>
        <v>2591133.5895944196</v>
      </c>
      <c r="BW5" s="80"/>
      <c r="BX5" s="207" t="e">
        <f>VLOOKUP(B5,#REF!,22,0)</f>
        <v>#REF!</v>
      </c>
      <c r="BY5" s="210" t="e">
        <f>VLOOKUP(B5,#REF!,11,0)</f>
        <v>#REF!</v>
      </c>
      <c r="BZ5" s="205"/>
      <c r="CA5" s="205"/>
      <c r="CB5" s="126">
        <v>86833</v>
      </c>
      <c r="CD5" s="130"/>
      <c r="CE5" s="131"/>
      <c r="CF5" s="131"/>
      <c r="CG5" s="131"/>
      <c r="CH5" s="131"/>
      <c r="CI5" s="131"/>
      <c r="CJ5" s="131"/>
      <c r="CK5" s="126"/>
      <c r="CL5" s="2"/>
    </row>
    <row r="6" spans="1:90" ht="14.25">
      <c r="A6" s="185">
        <v>3122002</v>
      </c>
      <c r="B6" s="188">
        <v>2002</v>
      </c>
      <c r="C6" s="102" t="s">
        <v>142</v>
      </c>
      <c r="D6" s="189">
        <v>324</v>
      </c>
      <c r="E6" s="189">
        <v>324</v>
      </c>
      <c r="F6" s="189">
        <v>0</v>
      </c>
      <c r="G6" s="189">
        <v>0</v>
      </c>
      <c r="H6" s="189">
        <v>0</v>
      </c>
      <c r="I6" s="189">
        <v>91.40782122905028</v>
      </c>
      <c r="J6" s="189">
        <v>0</v>
      </c>
      <c r="K6" s="189">
        <v>30.999999999999993</v>
      </c>
      <c r="L6" s="189">
        <v>50.00000000000001</v>
      </c>
      <c r="M6" s="189">
        <v>76.00000000000003</v>
      </c>
      <c r="N6" s="189">
        <v>107.00000000000003</v>
      </c>
      <c r="O6" s="189">
        <v>15.999999999999995</v>
      </c>
      <c r="P6" s="189">
        <v>0</v>
      </c>
      <c r="Q6" s="189">
        <v>0</v>
      </c>
      <c r="R6" s="189">
        <v>0</v>
      </c>
      <c r="S6" s="189">
        <v>0</v>
      </c>
      <c r="T6" s="189">
        <v>0</v>
      </c>
      <c r="U6" s="189">
        <v>0</v>
      </c>
      <c r="V6" s="189">
        <v>0</v>
      </c>
      <c r="W6" s="189">
        <v>153.59169550173</v>
      </c>
      <c r="X6" s="189">
        <v>0</v>
      </c>
      <c r="Y6" s="189">
        <v>97.32319391634977</v>
      </c>
      <c r="Z6" s="189">
        <v>0</v>
      </c>
      <c r="AA6" s="189">
        <v>9.560000000000008</v>
      </c>
      <c r="AB6" s="189">
        <v>0</v>
      </c>
      <c r="AC6" s="152">
        <f aca="true" t="shared" si="0" ref="AC6:AC69">E6*$AC$3</f>
        <v>1113678.72</v>
      </c>
      <c r="AD6" s="152">
        <f aca="true" t="shared" si="1" ref="AD6:AD69">G6*$AD$3</f>
        <v>0</v>
      </c>
      <c r="AE6" s="152">
        <f aca="true" t="shared" si="2" ref="AE6:AE69">H6*$AE$3</f>
        <v>0</v>
      </c>
      <c r="AF6" s="153">
        <f aca="true" t="shared" si="3" ref="AF6:AF69">I6*$AF$3</f>
        <v>94254.26078212292</v>
      </c>
      <c r="AG6" s="153">
        <f aca="true" t="shared" si="4" ref="AG6:AG69">J6*$AG$3</f>
        <v>0</v>
      </c>
      <c r="AH6" s="153">
        <f aca="true" t="shared" si="5" ref="AH6:AH69">K6*$AH$3</f>
        <v>2089.3999999999996</v>
      </c>
      <c r="AI6" s="153">
        <f aca="true" t="shared" si="6" ref="AI6:AI69">L6*$AI$3</f>
        <v>6740.000000000002</v>
      </c>
      <c r="AJ6" s="153">
        <f aca="true" t="shared" si="7" ref="AJ6:AJ69">M6*$AJ$3</f>
        <v>15367.960000000006</v>
      </c>
      <c r="AK6" s="153">
        <f aca="true" t="shared" si="8" ref="AK6:AK69">N6*$AK$3</f>
        <v>28848.270000000008</v>
      </c>
      <c r="AL6" s="153">
        <f aca="true" t="shared" si="9" ref="AL6:AL69">O6*$AL$3</f>
        <v>5392.159999999998</v>
      </c>
      <c r="AM6" s="153">
        <f aca="true" t="shared" si="10" ref="AM6:AM69">P6*$AM$3</f>
        <v>0</v>
      </c>
      <c r="AN6" s="153">
        <f aca="true" t="shared" si="11" ref="AN6:AN69">Q6*$AN$3</f>
        <v>0</v>
      </c>
      <c r="AO6" s="153">
        <f aca="true" t="shared" si="12" ref="AO6:AO69">R6*$AO$3</f>
        <v>0</v>
      </c>
      <c r="AP6" s="153">
        <f aca="true" t="shared" si="13" ref="AP6:AP69">S6*$AP$3</f>
        <v>0</v>
      </c>
      <c r="AQ6" s="153">
        <f aca="true" t="shared" si="14" ref="AQ6:AQ69">T6*$AQ$3</f>
        <v>0</v>
      </c>
      <c r="AR6" s="153">
        <f aca="true" t="shared" si="15" ref="AR6:AR69">U6*$AR$3</f>
        <v>0</v>
      </c>
      <c r="AS6" s="153">
        <f aca="true" t="shared" si="16" ref="AS6:AS69">V6*$AS$3</f>
        <v>0</v>
      </c>
      <c r="AT6" s="153">
        <f aca="true" t="shared" si="17" ref="AT6:AT69">W6*$AT$3</f>
        <v>118056.72083044973</v>
      </c>
      <c r="AU6" s="153">
        <f aca="true" t="shared" si="18" ref="AU6:AU69">X6*$AU$3</f>
        <v>0</v>
      </c>
      <c r="AV6" s="153">
        <f aca="true" t="shared" si="19" ref="AV6:AV69">Y6*$AV$3</f>
        <v>59717.51178707222</v>
      </c>
      <c r="AW6" s="153">
        <f aca="true" t="shared" si="20" ref="AW6:AW69">Z6*$AW$3</f>
        <v>0</v>
      </c>
      <c r="AX6" s="153">
        <f aca="true" t="shared" si="21" ref="AX6:AX69">AA6*$AX$3</f>
        <v>7953.920000000006</v>
      </c>
      <c r="AY6" s="153">
        <f aca="true" t="shared" si="22" ref="AY6:AY69">AB6*$AY$3</f>
        <v>0</v>
      </c>
      <c r="AZ6" s="153">
        <v>140000</v>
      </c>
      <c r="BA6" s="151">
        <v>13400</v>
      </c>
      <c r="BB6" s="151">
        <v>-197.98</v>
      </c>
      <c r="BC6" s="153"/>
      <c r="BD6" s="153"/>
      <c r="BE6" s="153"/>
      <c r="BF6" s="153">
        <f aca="true" t="shared" si="23" ref="BF6:BF69">SUM(AC6:AE6)</f>
        <v>1113678.72</v>
      </c>
      <c r="BG6" s="153">
        <f aca="true" t="shared" si="24" ref="BG6:BG69">SUM(AF6:AY6)</f>
        <v>338420.2033996449</v>
      </c>
      <c r="BH6" s="153">
        <f aca="true" t="shared" si="25" ref="BH6:BH69">SUM(AZ6:BE6)</f>
        <v>153202.02</v>
      </c>
      <c r="BI6" s="153">
        <f aca="true" t="shared" si="26" ref="BI6:BI69">SUM(AV6:AW6)</f>
        <v>59717.51178707222</v>
      </c>
      <c r="BJ6" s="154">
        <f aca="true" t="shared" si="27" ref="BJ6:BJ69">BF6+BG6+BH6</f>
        <v>1605300.943399645</v>
      </c>
      <c r="BK6" s="154">
        <v>1605300.9433996447</v>
      </c>
      <c r="BL6" s="154">
        <v>0</v>
      </c>
      <c r="BM6" s="154">
        <v>1452098.923399645</v>
      </c>
      <c r="BN6" s="154">
        <v>4481.786800616188</v>
      </c>
      <c r="BO6" s="154">
        <v>4288.947472651934</v>
      </c>
      <c r="BP6" s="155">
        <v>0.04496192345415182</v>
      </c>
      <c r="BQ6" s="155">
        <v>0</v>
      </c>
      <c r="BR6" s="154">
        <v>0</v>
      </c>
      <c r="BS6" s="156">
        <f aca="true" t="shared" si="28" ref="BS6:BS69">BJ6+BR6</f>
        <v>1605300.943399645</v>
      </c>
      <c r="BT6" s="153">
        <v>0</v>
      </c>
      <c r="BU6" s="153">
        <v>0</v>
      </c>
      <c r="BV6" s="157">
        <f aca="true" t="shared" si="29" ref="BV6:BV69">SUM(BS6:BU6)</f>
        <v>1605300.943399645</v>
      </c>
      <c r="BW6" s="80"/>
      <c r="BX6" s="208" t="e">
        <f>VLOOKUP(B6,#REF!,22,0)</f>
        <v>#REF!</v>
      </c>
      <c r="BY6" s="211"/>
      <c r="BZ6" s="103"/>
      <c r="CA6" s="103"/>
      <c r="CB6" s="127">
        <v>38084</v>
      </c>
      <c r="CD6" s="200"/>
      <c r="CE6" s="123"/>
      <c r="CF6" s="123"/>
      <c r="CG6" s="123"/>
      <c r="CH6" s="123"/>
      <c r="CI6" s="123"/>
      <c r="CJ6" s="123"/>
      <c r="CK6" s="127"/>
      <c r="CL6" s="2"/>
    </row>
    <row r="7" spans="1:90" ht="14.25">
      <c r="A7" s="185">
        <v>3122003</v>
      </c>
      <c r="B7" s="190">
        <v>2003</v>
      </c>
      <c r="C7" s="120" t="s">
        <v>3</v>
      </c>
      <c r="D7" s="189">
        <v>226</v>
      </c>
      <c r="E7" s="189">
        <v>226</v>
      </c>
      <c r="F7" s="189">
        <v>0</v>
      </c>
      <c r="G7" s="189">
        <v>0</v>
      </c>
      <c r="H7" s="189">
        <v>0</v>
      </c>
      <c r="I7" s="189">
        <v>49.561403508771924</v>
      </c>
      <c r="J7" s="189">
        <v>0</v>
      </c>
      <c r="K7" s="189">
        <v>85.99999999999991</v>
      </c>
      <c r="L7" s="189">
        <v>4.000000000000003</v>
      </c>
      <c r="M7" s="189">
        <v>2.999999999999991</v>
      </c>
      <c r="N7" s="189">
        <v>4.000000000000003</v>
      </c>
      <c r="O7" s="189">
        <v>0</v>
      </c>
      <c r="P7" s="189">
        <v>0</v>
      </c>
      <c r="Q7" s="189">
        <v>0</v>
      </c>
      <c r="R7" s="189">
        <v>0</v>
      </c>
      <c r="S7" s="189">
        <v>0</v>
      </c>
      <c r="T7" s="189">
        <v>0</v>
      </c>
      <c r="U7" s="189">
        <v>0</v>
      </c>
      <c r="V7" s="189">
        <v>0</v>
      </c>
      <c r="W7" s="189">
        <v>55.3469387755101</v>
      </c>
      <c r="X7" s="189">
        <v>0</v>
      </c>
      <c r="Y7" s="189">
        <v>68.88770053475938</v>
      </c>
      <c r="Z7" s="189">
        <v>0</v>
      </c>
      <c r="AA7" s="189">
        <v>0</v>
      </c>
      <c r="AB7" s="189">
        <v>0</v>
      </c>
      <c r="AC7" s="152">
        <f t="shared" si="0"/>
        <v>776825.28</v>
      </c>
      <c r="AD7" s="152">
        <f t="shared" si="1"/>
        <v>0</v>
      </c>
      <c r="AE7" s="152">
        <f t="shared" si="2"/>
        <v>0</v>
      </c>
      <c r="AF7" s="153">
        <f t="shared" si="3"/>
        <v>51104.745614035084</v>
      </c>
      <c r="AG7" s="153">
        <f t="shared" si="4"/>
        <v>0</v>
      </c>
      <c r="AH7" s="153">
        <f t="shared" si="5"/>
        <v>5796.399999999995</v>
      </c>
      <c r="AI7" s="153">
        <f t="shared" si="6"/>
        <v>539.2000000000004</v>
      </c>
      <c r="AJ7" s="153">
        <f t="shared" si="7"/>
        <v>606.6299999999982</v>
      </c>
      <c r="AK7" s="153">
        <f t="shared" si="8"/>
        <v>1078.4400000000007</v>
      </c>
      <c r="AL7" s="153">
        <f t="shared" si="9"/>
        <v>0</v>
      </c>
      <c r="AM7" s="153">
        <f t="shared" si="10"/>
        <v>0</v>
      </c>
      <c r="AN7" s="153">
        <f t="shared" si="11"/>
        <v>0</v>
      </c>
      <c r="AO7" s="153">
        <f t="shared" si="12"/>
        <v>0</v>
      </c>
      <c r="AP7" s="153">
        <f t="shared" si="13"/>
        <v>0</v>
      </c>
      <c r="AQ7" s="153">
        <f t="shared" si="14"/>
        <v>0</v>
      </c>
      <c r="AR7" s="153">
        <f t="shared" si="15"/>
        <v>0</v>
      </c>
      <c r="AS7" s="153">
        <f t="shared" si="16"/>
        <v>0</v>
      </c>
      <c r="AT7" s="153">
        <f t="shared" si="17"/>
        <v>42541.87102040808</v>
      </c>
      <c r="AU7" s="153">
        <f t="shared" si="18"/>
        <v>0</v>
      </c>
      <c r="AV7" s="153">
        <f t="shared" si="19"/>
        <v>42269.49304812835</v>
      </c>
      <c r="AW7" s="153">
        <f t="shared" si="20"/>
        <v>0</v>
      </c>
      <c r="AX7" s="153">
        <f t="shared" si="21"/>
        <v>0</v>
      </c>
      <c r="AY7" s="153">
        <f t="shared" si="22"/>
        <v>0</v>
      </c>
      <c r="AZ7" s="153">
        <v>140000</v>
      </c>
      <c r="BA7" s="151">
        <v>25200</v>
      </c>
      <c r="BB7" s="151">
        <v>-5195.72</v>
      </c>
      <c r="BC7" s="153"/>
      <c r="BD7" s="153"/>
      <c r="BE7" s="153"/>
      <c r="BF7" s="153">
        <f t="shared" si="23"/>
        <v>776825.28</v>
      </c>
      <c r="BG7" s="153">
        <f t="shared" si="24"/>
        <v>143936.7796825715</v>
      </c>
      <c r="BH7" s="153">
        <f t="shared" si="25"/>
        <v>160004.28</v>
      </c>
      <c r="BI7" s="153">
        <f t="shared" si="26"/>
        <v>42269.49304812835</v>
      </c>
      <c r="BJ7" s="154">
        <f t="shared" si="27"/>
        <v>1080766.3396825716</v>
      </c>
      <c r="BK7" s="154">
        <v>1080766.3396825714</v>
      </c>
      <c r="BL7" s="154">
        <v>0</v>
      </c>
      <c r="BM7" s="154">
        <v>920762.0596825716</v>
      </c>
      <c r="BN7" s="154">
        <v>4074.1684056750955</v>
      </c>
      <c r="BO7" s="154">
        <v>3820.5134755555555</v>
      </c>
      <c r="BP7" s="155">
        <v>0.06639288978889286</v>
      </c>
      <c r="BQ7" s="155">
        <v>0</v>
      </c>
      <c r="BR7" s="154">
        <v>0</v>
      </c>
      <c r="BS7" s="156">
        <f t="shared" si="28"/>
        <v>1080766.3396825716</v>
      </c>
      <c r="BT7" s="153">
        <v>-494.94</v>
      </c>
      <c r="BU7" s="153">
        <v>-275.71999999999997</v>
      </c>
      <c r="BV7" s="157">
        <f t="shared" si="29"/>
        <v>1079995.6796825717</v>
      </c>
      <c r="BW7" s="80"/>
      <c r="BX7" s="208" t="e">
        <f>VLOOKUP(B7,#REF!,22,0)</f>
        <v>#REF!</v>
      </c>
      <c r="BY7" s="211"/>
      <c r="BZ7" s="103"/>
      <c r="CA7" s="103"/>
      <c r="CB7" s="127">
        <v>2542</v>
      </c>
      <c r="CD7" s="200">
        <v>65905</v>
      </c>
      <c r="CE7" s="123">
        <v>0</v>
      </c>
      <c r="CF7" s="123"/>
      <c r="CG7" s="123">
        <v>18143.333333333336</v>
      </c>
      <c r="CH7" s="123">
        <v>27750</v>
      </c>
      <c r="CI7" s="123">
        <v>6759</v>
      </c>
      <c r="CJ7" s="123"/>
      <c r="CK7" s="127"/>
      <c r="CL7" s="2"/>
    </row>
    <row r="8" spans="1:90" ht="14.25">
      <c r="A8" s="185">
        <v>3122004</v>
      </c>
      <c r="B8" s="188">
        <v>2004</v>
      </c>
      <c r="C8" s="102" t="s">
        <v>123</v>
      </c>
      <c r="D8" s="189">
        <v>606</v>
      </c>
      <c r="E8" s="189">
        <v>606</v>
      </c>
      <c r="F8" s="189">
        <v>0</v>
      </c>
      <c r="G8" s="189">
        <v>0</v>
      </c>
      <c r="H8" s="189">
        <v>0</v>
      </c>
      <c r="I8" s="189">
        <v>18.9375</v>
      </c>
      <c r="J8" s="189">
        <v>0</v>
      </c>
      <c r="K8" s="189">
        <v>17.00000000000003</v>
      </c>
      <c r="L8" s="189">
        <v>15.999999999999998</v>
      </c>
      <c r="M8" s="189">
        <v>0</v>
      </c>
      <c r="N8" s="189">
        <v>1.9999999999999998</v>
      </c>
      <c r="O8" s="189">
        <v>0</v>
      </c>
      <c r="P8" s="189">
        <v>0</v>
      </c>
      <c r="Q8" s="189">
        <v>0</v>
      </c>
      <c r="R8" s="189">
        <v>0</v>
      </c>
      <c r="S8" s="189">
        <v>0</v>
      </c>
      <c r="T8" s="189">
        <v>0</v>
      </c>
      <c r="U8" s="189">
        <v>0</v>
      </c>
      <c r="V8" s="189">
        <v>0</v>
      </c>
      <c r="W8" s="189">
        <v>91.88867562380018</v>
      </c>
      <c r="X8" s="189">
        <v>0</v>
      </c>
      <c r="Y8" s="189">
        <v>100.19521912350615</v>
      </c>
      <c r="Z8" s="189">
        <v>0</v>
      </c>
      <c r="AA8" s="189">
        <v>0</v>
      </c>
      <c r="AB8" s="189">
        <v>0</v>
      </c>
      <c r="AC8" s="152">
        <f t="shared" si="0"/>
        <v>2082991.6800000002</v>
      </c>
      <c r="AD8" s="152">
        <f t="shared" si="1"/>
        <v>0</v>
      </c>
      <c r="AE8" s="152">
        <f t="shared" si="2"/>
        <v>0</v>
      </c>
      <c r="AF8" s="153">
        <f t="shared" si="3"/>
        <v>19527.213750000003</v>
      </c>
      <c r="AG8" s="153">
        <f t="shared" si="4"/>
        <v>0</v>
      </c>
      <c r="AH8" s="153">
        <f t="shared" si="5"/>
        <v>1145.800000000002</v>
      </c>
      <c r="AI8" s="153">
        <f t="shared" si="6"/>
        <v>2156.7999999999997</v>
      </c>
      <c r="AJ8" s="153">
        <f t="shared" si="7"/>
        <v>0</v>
      </c>
      <c r="AK8" s="153">
        <f t="shared" si="8"/>
        <v>539.2199999999999</v>
      </c>
      <c r="AL8" s="153">
        <f t="shared" si="9"/>
        <v>0</v>
      </c>
      <c r="AM8" s="153">
        <f t="shared" si="10"/>
        <v>0</v>
      </c>
      <c r="AN8" s="153">
        <f t="shared" si="11"/>
        <v>0</v>
      </c>
      <c r="AO8" s="153">
        <f t="shared" si="12"/>
        <v>0</v>
      </c>
      <c r="AP8" s="153">
        <f t="shared" si="13"/>
        <v>0</v>
      </c>
      <c r="AQ8" s="153">
        <f t="shared" si="14"/>
        <v>0</v>
      </c>
      <c r="AR8" s="153">
        <f t="shared" si="15"/>
        <v>0</v>
      </c>
      <c r="AS8" s="153">
        <f t="shared" si="16"/>
        <v>0</v>
      </c>
      <c r="AT8" s="153">
        <f t="shared" si="17"/>
        <v>70629.31163147777</v>
      </c>
      <c r="AU8" s="153">
        <f t="shared" si="18"/>
        <v>0</v>
      </c>
      <c r="AV8" s="153">
        <f t="shared" si="19"/>
        <v>61479.78645418338</v>
      </c>
      <c r="AW8" s="153">
        <f t="shared" si="20"/>
        <v>0</v>
      </c>
      <c r="AX8" s="153">
        <f t="shared" si="21"/>
        <v>0</v>
      </c>
      <c r="AY8" s="153">
        <f t="shared" si="22"/>
        <v>0</v>
      </c>
      <c r="AZ8" s="153">
        <v>140000</v>
      </c>
      <c r="BA8" s="151">
        <v>40250</v>
      </c>
      <c r="BB8" s="151">
        <v>1932</v>
      </c>
      <c r="BC8" s="153"/>
      <c r="BD8" s="153"/>
      <c r="BE8" s="153"/>
      <c r="BF8" s="153">
        <f t="shared" si="23"/>
        <v>2082991.6800000002</v>
      </c>
      <c r="BG8" s="153">
        <f t="shared" si="24"/>
        <v>155478.13183566116</v>
      </c>
      <c r="BH8" s="153">
        <f t="shared" si="25"/>
        <v>182182</v>
      </c>
      <c r="BI8" s="153">
        <f t="shared" si="26"/>
        <v>61479.78645418338</v>
      </c>
      <c r="BJ8" s="154">
        <f t="shared" si="27"/>
        <v>2420651.8118356615</v>
      </c>
      <c r="BK8" s="154">
        <v>2420651.8118356615</v>
      </c>
      <c r="BL8" s="154">
        <v>0</v>
      </c>
      <c r="BM8" s="154">
        <v>2238469.8118356615</v>
      </c>
      <c r="BN8" s="154">
        <v>3693.84457398624</v>
      </c>
      <c r="BO8" s="154">
        <v>3472.008420132013</v>
      </c>
      <c r="BP8" s="155">
        <v>0.06389274650601007</v>
      </c>
      <c r="BQ8" s="155">
        <v>0</v>
      </c>
      <c r="BR8" s="154">
        <v>0</v>
      </c>
      <c r="BS8" s="156">
        <f t="shared" si="28"/>
        <v>2420651.8118356615</v>
      </c>
      <c r="BT8" s="153">
        <v>-1327.1399999999999</v>
      </c>
      <c r="BU8" s="153">
        <v>-739.3199999999999</v>
      </c>
      <c r="BV8" s="157">
        <f t="shared" si="29"/>
        <v>2418585.3518356616</v>
      </c>
      <c r="BW8" s="80"/>
      <c r="BX8" s="208" t="e">
        <f>VLOOKUP(B8,#REF!,22,0)</f>
        <v>#REF!</v>
      </c>
      <c r="BY8" s="211" t="e">
        <f>VLOOKUP(B8,#REF!,11,0)</f>
        <v>#REF!</v>
      </c>
      <c r="BZ8" s="103"/>
      <c r="CA8" s="103"/>
      <c r="CB8" s="127">
        <v>32017</v>
      </c>
      <c r="CD8" s="200">
        <v>25555</v>
      </c>
      <c r="CE8" s="123">
        <v>5580</v>
      </c>
      <c r="CF8" s="123">
        <v>7035</v>
      </c>
      <c r="CG8" s="123">
        <v>21697.5</v>
      </c>
      <c r="CH8" s="123">
        <v>96577</v>
      </c>
      <c r="CI8" s="123">
        <v>11488</v>
      </c>
      <c r="CJ8" s="123"/>
      <c r="CK8" s="127"/>
      <c r="CL8" s="2"/>
    </row>
    <row r="9" spans="1:90" ht="14.25">
      <c r="A9" s="185">
        <v>3122010</v>
      </c>
      <c r="B9" s="188">
        <v>2010</v>
      </c>
      <c r="C9" s="102" t="s">
        <v>4</v>
      </c>
      <c r="D9" s="189">
        <v>590</v>
      </c>
      <c r="E9" s="189">
        <v>590</v>
      </c>
      <c r="F9" s="189">
        <v>0</v>
      </c>
      <c r="G9" s="189">
        <v>0</v>
      </c>
      <c r="H9" s="189">
        <v>0</v>
      </c>
      <c r="I9" s="189">
        <v>234.63696369636963</v>
      </c>
      <c r="J9" s="189">
        <v>0</v>
      </c>
      <c r="K9" s="189">
        <v>44.00000000000001</v>
      </c>
      <c r="L9" s="189">
        <v>172.00000000000026</v>
      </c>
      <c r="M9" s="189">
        <v>249.00000000000014</v>
      </c>
      <c r="N9" s="189">
        <v>27.00000000000001</v>
      </c>
      <c r="O9" s="189">
        <v>2.000000000000002</v>
      </c>
      <c r="P9" s="189">
        <v>0</v>
      </c>
      <c r="Q9" s="189">
        <v>0</v>
      </c>
      <c r="R9" s="189">
        <v>0</v>
      </c>
      <c r="S9" s="189">
        <v>0</v>
      </c>
      <c r="T9" s="189">
        <v>0</v>
      </c>
      <c r="U9" s="189">
        <v>0</v>
      </c>
      <c r="V9" s="189">
        <v>0</v>
      </c>
      <c r="W9" s="189">
        <v>119.40476190476167</v>
      </c>
      <c r="X9" s="189">
        <v>0</v>
      </c>
      <c r="Y9" s="189">
        <v>192.12184873949562</v>
      </c>
      <c r="Z9" s="189">
        <v>0</v>
      </c>
      <c r="AA9" s="189">
        <v>13.59999999999999</v>
      </c>
      <c r="AB9" s="189">
        <v>0</v>
      </c>
      <c r="AC9" s="152">
        <f t="shared" si="0"/>
        <v>2027995.2000000002</v>
      </c>
      <c r="AD9" s="152">
        <f t="shared" si="1"/>
        <v>0</v>
      </c>
      <c r="AE9" s="152">
        <f t="shared" si="2"/>
        <v>0</v>
      </c>
      <c r="AF9" s="153">
        <f t="shared" si="3"/>
        <v>241943.55874587462</v>
      </c>
      <c r="AG9" s="153">
        <f t="shared" si="4"/>
        <v>0</v>
      </c>
      <c r="AH9" s="153">
        <f t="shared" si="5"/>
        <v>2965.600000000001</v>
      </c>
      <c r="AI9" s="153">
        <f t="shared" si="6"/>
        <v>23185.600000000035</v>
      </c>
      <c r="AJ9" s="153">
        <f t="shared" si="7"/>
        <v>50350.29000000003</v>
      </c>
      <c r="AK9" s="153">
        <f t="shared" si="8"/>
        <v>7279.470000000003</v>
      </c>
      <c r="AL9" s="153">
        <f t="shared" si="9"/>
        <v>674.0200000000008</v>
      </c>
      <c r="AM9" s="153">
        <f t="shared" si="10"/>
        <v>0</v>
      </c>
      <c r="AN9" s="153">
        <f t="shared" si="11"/>
        <v>0</v>
      </c>
      <c r="AO9" s="153">
        <f t="shared" si="12"/>
        <v>0</v>
      </c>
      <c r="AP9" s="153">
        <f t="shared" si="13"/>
        <v>0</v>
      </c>
      <c r="AQ9" s="153">
        <f t="shared" si="14"/>
        <v>0</v>
      </c>
      <c r="AR9" s="153">
        <f t="shared" si="15"/>
        <v>0</v>
      </c>
      <c r="AS9" s="153">
        <f t="shared" si="16"/>
        <v>0</v>
      </c>
      <c r="AT9" s="153">
        <f t="shared" si="17"/>
        <v>91779.27619047601</v>
      </c>
      <c r="AU9" s="153">
        <f t="shared" si="18"/>
        <v>0</v>
      </c>
      <c r="AV9" s="153">
        <f t="shared" si="19"/>
        <v>117885.96638655452</v>
      </c>
      <c r="AW9" s="153">
        <f t="shared" si="20"/>
        <v>0</v>
      </c>
      <c r="AX9" s="153">
        <f t="shared" si="21"/>
        <v>11315.199999999992</v>
      </c>
      <c r="AY9" s="153">
        <f t="shared" si="22"/>
        <v>0</v>
      </c>
      <c r="AZ9" s="153">
        <v>140000</v>
      </c>
      <c r="BA9" s="151">
        <v>49500</v>
      </c>
      <c r="BB9" s="151">
        <v>1883.85</v>
      </c>
      <c r="BC9" s="153"/>
      <c r="BD9" s="153"/>
      <c r="BE9" s="153"/>
      <c r="BF9" s="153">
        <f t="shared" si="23"/>
        <v>2027995.2000000002</v>
      </c>
      <c r="BG9" s="153">
        <f t="shared" si="24"/>
        <v>547378.9813229052</v>
      </c>
      <c r="BH9" s="153">
        <f t="shared" si="25"/>
        <v>191383.85</v>
      </c>
      <c r="BI9" s="153">
        <f t="shared" si="26"/>
        <v>117885.96638655452</v>
      </c>
      <c r="BJ9" s="154">
        <f t="shared" si="27"/>
        <v>2766758.0313229053</v>
      </c>
      <c r="BK9" s="154">
        <v>2766758.031322906</v>
      </c>
      <c r="BL9" s="154">
        <v>0</v>
      </c>
      <c r="BM9" s="154">
        <v>2575374.1813229052</v>
      </c>
      <c r="BN9" s="154">
        <v>4365.04098529306</v>
      </c>
      <c r="BO9" s="154">
        <v>4150.218885714286</v>
      </c>
      <c r="BP9" s="155">
        <v>0.05176163125232386</v>
      </c>
      <c r="BQ9" s="155">
        <v>0</v>
      </c>
      <c r="BR9" s="154">
        <v>0</v>
      </c>
      <c r="BS9" s="156">
        <f t="shared" si="28"/>
        <v>2766758.0313229053</v>
      </c>
      <c r="BT9" s="153">
        <v>-1292.1</v>
      </c>
      <c r="BU9" s="153">
        <v>-719.8</v>
      </c>
      <c r="BV9" s="157">
        <f t="shared" si="29"/>
        <v>2764746.1313229054</v>
      </c>
      <c r="BW9" s="80"/>
      <c r="BX9" s="208" t="e">
        <f>VLOOKUP(B9,#REF!,22,0)</f>
        <v>#REF!</v>
      </c>
      <c r="BY9" s="211" t="e">
        <f>VLOOKUP(B9,#REF!,11,0)</f>
        <v>#REF!</v>
      </c>
      <c r="BZ9" s="103"/>
      <c r="CA9" s="103"/>
      <c r="CB9" s="127">
        <v>142836</v>
      </c>
      <c r="CD9" s="200">
        <v>320110</v>
      </c>
      <c r="CE9" s="123">
        <v>620</v>
      </c>
      <c r="CF9" s="123">
        <v>2345</v>
      </c>
      <c r="CG9" s="123">
        <v>21604.166666666664</v>
      </c>
      <c r="CH9" s="123">
        <v>73635</v>
      </c>
      <c r="CI9" s="123">
        <v>11250</v>
      </c>
      <c r="CJ9" s="123"/>
      <c r="CK9" s="127"/>
      <c r="CL9" s="2"/>
    </row>
    <row r="10" spans="1:90" ht="14.25">
      <c r="A10" s="185">
        <v>3122011</v>
      </c>
      <c r="B10" s="188">
        <v>2011</v>
      </c>
      <c r="C10" s="102" t="s">
        <v>5</v>
      </c>
      <c r="D10" s="189">
        <v>306</v>
      </c>
      <c r="E10" s="189">
        <v>306</v>
      </c>
      <c r="F10" s="189">
        <v>0</v>
      </c>
      <c r="G10" s="189">
        <v>0</v>
      </c>
      <c r="H10" s="189">
        <v>0</v>
      </c>
      <c r="I10" s="189">
        <v>70</v>
      </c>
      <c r="J10" s="189">
        <v>0</v>
      </c>
      <c r="K10" s="189">
        <v>12</v>
      </c>
      <c r="L10" s="189">
        <v>79.00000000000004</v>
      </c>
      <c r="M10" s="189">
        <v>1.9999999999999998</v>
      </c>
      <c r="N10" s="189">
        <v>5.000000000000015</v>
      </c>
      <c r="O10" s="189">
        <v>0</v>
      </c>
      <c r="P10" s="189">
        <v>0</v>
      </c>
      <c r="Q10" s="189">
        <v>0</v>
      </c>
      <c r="R10" s="189">
        <v>0</v>
      </c>
      <c r="S10" s="189">
        <v>0</v>
      </c>
      <c r="T10" s="189">
        <v>0</v>
      </c>
      <c r="U10" s="189">
        <v>0</v>
      </c>
      <c r="V10" s="189">
        <v>0</v>
      </c>
      <c r="W10" s="189">
        <v>19.000000000000014</v>
      </c>
      <c r="X10" s="189">
        <v>0</v>
      </c>
      <c r="Y10" s="189">
        <v>110.89932885906029</v>
      </c>
      <c r="Z10" s="189">
        <v>0</v>
      </c>
      <c r="AA10" s="189">
        <v>0</v>
      </c>
      <c r="AB10" s="189">
        <v>0</v>
      </c>
      <c r="AC10" s="152">
        <f t="shared" si="0"/>
        <v>1051807.6800000002</v>
      </c>
      <c r="AD10" s="152">
        <f t="shared" si="1"/>
        <v>0</v>
      </c>
      <c r="AE10" s="152">
        <f t="shared" si="2"/>
        <v>0</v>
      </c>
      <c r="AF10" s="153">
        <f t="shared" si="3"/>
        <v>72179.8</v>
      </c>
      <c r="AG10" s="153">
        <f t="shared" si="4"/>
        <v>0</v>
      </c>
      <c r="AH10" s="153">
        <f t="shared" si="5"/>
        <v>808.8000000000001</v>
      </c>
      <c r="AI10" s="153">
        <f t="shared" si="6"/>
        <v>10649.200000000006</v>
      </c>
      <c r="AJ10" s="153">
        <f t="shared" si="7"/>
        <v>404.41999999999996</v>
      </c>
      <c r="AK10" s="153">
        <f t="shared" si="8"/>
        <v>1348.050000000004</v>
      </c>
      <c r="AL10" s="153">
        <f t="shared" si="9"/>
        <v>0</v>
      </c>
      <c r="AM10" s="153">
        <f t="shared" si="10"/>
        <v>0</v>
      </c>
      <c r="AN10" s="153">
        <f t="shared" si="11"/>
        <v>0</v>
      </c>
      <c r="AO10" s="153">
        <f t="shared" si="12"/>
        <v>0</v>
      </c>
      <c r="AP10" s="153">
        <f t="shared" si="13"/>
        <v>0</v>
      </c>
      <c r="AQ10" s="153">
        <f t="shared" si="14"/>
        <v>0</v>
      </c>
      <c r="AR10" s="153">
        <f t="shared" si="15"/>
        <v>0</v>
      </c>
      <c r="AS10" s="153">
        <f t="shared" si="16"/>
        <v>0</v>
      </c>
      <c r="AT10" s="153">
        <f t="shared" si="17"/>
        <v>14604.16000000001</v>
      </c>
      <c r="AU10" s="153">
        <f t="shared" si="18"/>
        <v>0</v>
      </c>
      <c r="AV10" s="153">
        <f t="shared" si="19"/>
        <v>68047.8281879194</v>
      </c>
      <c r="AW10" s="153">
        <f t="shared" si="20"/>
        <v>0</v>
      </c>
      <c r="AX10" s="153">
        <f t="shared" si="21"/>
        <v>0</v>
      </c>
      <c r="AY10" s="153">
        <f t="shared" si="22"/>
        <v>0</v>
      </c>
      <c r="AZ10" s="153">
        <v>140000</v>
      </c>
      <c r="BA10" s="151">
        <v>6000</v>
      </c>
      <c r="BB10" s="151">
        <v>130.42</v>
      </c>
      <c r="BC10" s="153"/>
      <c r="BD10" s="153"/>
      <c r="BE10" s="153"/>
      <c r="BF10" s="153">
        <f t="shared" si="23"/>
        <v>1051807.6800000002</v>
      </c>
      <c r="BG10" s="153">
        <f t="shared" si="24"/>
        <v>168042.25818791942</v>
      </c>
      <c r="BH10" s="153">
        <f t="shared" si="25"/>
        <v>146130.42</v>
      </c>
      <c r="BI10" s="153">
        <f t="shared" si="26"/>
        <v>68047.8281879194</v>
      </c>
      <c r="BJ10" s="154">
        <f t="shared" si="27"/>
        <v>1365980.3581879195</v>
      </c>
      <c r="BK10" s="154">
        <v>1365980.3581879195</v>
      </c>
      <c r="BL10" s="154">
        <v>0</v>
      </c>
      <c r="BM10" s="154">
        <v>1219849.9381879196</v>
      </c>
      <c r="BN10" s="154">
        <v>3986.437706496469</v>
      </c>
      <c r="BO10" s="154">
        <v>3813.6816140065143</v>
      </c>
      <c r="BP10" s="155">
        <v>0.045299033840547495</v>
      </c>
      <c r="BQ10" s="155">
        <v>0</v>
      </c>
      <c r="BR10" s="154">
        <v>0</v>
      </c>
      <c r="BS10" s="156">
        <f t="shared" si="28"/>
        <v>1365980.3581879195</v>
      </c>
      <c r="BT10" s="153">
        <v>0</v>
      </c>
      <c r="BU10" s="153">
        <v>0</v>
      </c>
      <c r="BV10" s="157">
        <f t="shared" si="29"/>
        <v>1365980.3581879195</v>
      </c>
      <c r="BW10" s="80"/>
      <c r="BX10" s="208"/>
      <c r="BY10" s="211"/>
      <c r="BZ10" s="103"/>
      <c r="CA10" s="103"/>
      <c r="CB10" s="127">
        <v>82484</v>
      </c>
      <c r="CD10" s="200"/>
      <c r="CE10" s="123"/>
      <c r="CF10" s="123"/>
      <c r="CG10" s="123"/>
      <c r="CH10" s="123"/>
      <c r="CI10" s="123"/>
      <c r="CJ10" s="123"/>
      <c r="CK10" s="127"/>
      <c r="CL10" s="2"/>
    </row>
    <row r="11" spans="1:90" ht="14.25">
      <c r="A11" s="185">
        <v>3122012</v>
      </c>
      <c r="B11" s="188">
        <v>2012</v>
      </c>
      <c r="C11" s="102" t="s">
        <v>6</v>
      </c>
      <c r="D11" s="189">
        <v>210</v>
      </c>
      <c r="E11" s="189">
        <v>210</v>
      </c>
      <c r="F11" s="189">
        <v>0</v>
      </c>
      <c r="G11" s="189">
        <v>0</v>
      </c>
      <c r="H11" s="189">
        <v>0</v>
      </c>
      <c r="I11" s="189">
        <v>44.999999999999936</v>
      </c>
      <c r="J11" s="189">
        <v>0</v>
      </c>
      <c r="K11" s="189">
        <v>9.999999999999996</v>
      </c>
      <c r="L11" s="189">
        <v>61.99999999999996</v>
      </c>
      <c r="M11" s="189">
        <v>0</v>
      </c>
      <c r="N11" s="189">
        <v>1.9999999999999991</v>
      </c>
      <c r="O11" s="189">
        <v>0</v>
      </c>
      <c r="P11" s="189">
        <v>0</v>
      </c>
      <c r="Q11" s="189">
        <v>0</v>
      </c>
      <c r="R11" s="189">
        <v>0</v>
      </c>
      <c r="S11" s="189">
        <v>0</v>
      </c>
      <c r="T11" s="189">
        <v>0</v>
      </c>
      <c r="U11" s="189">
        <v>0</v>
      </c>
      <c r="V11" s="189">
        <v>0</v>
      </c>
      <c r="W11" s="189">
        <v>43.44827586206898</v>
      </c>
      <c r="X11" s="189">
        <v>0</v>
      </c>
      <c r="Y11" s="189">
        <v>71.45833333333339</v>
      </c>
      <c r="Z11" s="189">
        <v>0</v>
      </c>
      <c r="AA11" s="189">
        <v>0</v>
      </c>
      <c r="AB11" s="189">
        <v>0</v>
      </c>
      <c r="AC11" s="152">
        <f t="shared" si="0"/>
        <v>721828.8</v>
      </c>
      <c r="AD11" s="152">
        <f t="shared" si="1"/>
        <v>0</v>
      </c>
      <c r="AE11" s="152">
        <f t="shared" si="2"/>
        <v>0</v>
      </c>
      <c r="AF11" s="153">
        <f t="shared" si="3"/>
        <v>46401.29999999994</v>
      </c>
      <c r="AG11" s="153">
        <f t="shared" si="4"/>
        <v>0</v>
      </c>
      <c r="AH11" s="153">
        <f t="shared" si="5"/>
        <v>673.9999999999998</v>
      </c>
      <c r="AI11" s="153">
        <f t="shared" si="6"/>
        <v>8357.599999999995</v>
      </c>
      <c r="AJ11" s="153">
        <f t="shared" si="7"/>
        <v>0</v>
      </c>
      <c r="AK11" s="153">
        <f t="shared" si="8"/>
        <v>539.2199999999998</v>
      </c>
      <c r="AL11" s="153">
        <f t="shared" si="9"/>
        <v>0</v>
      </c>
      <c r="AM11" s="153">
        <f t="shared" si="10"/>
        <v>0</v>
      </c>
      <c r="AN11" s="153">
        <f t="shared" si="11"/>
        <v>0</v>
      </c>
      <c r="AO11" s="153">
        <f t="shared" si="12"/>
        <v>0</v>
      </c>
      <c r="AP11" s="153">
        <f t="shared" si="13"/>
        <v>0</v>
      </c>
      <c r="AQ11" s="153">
        <f t="shared" si="14"/>
        <v>0</v>
      </c>
      <c r="AR11" s="153">
        <f t="shared" si="15"/>
        <v>0</v>
      </c>
      <c r="AS11" s="153">
        <f t="shared" si="16"/>
        <v>0</v>
      </c>
      <c r="AT11" s="153">
        <f t="shared" si="17"/>
        <v>33396.0827586207</v>
      </c>
      <c r="AU11" s="153">
        <f t="shared" si="18"/>
        <v>0</v>
      </c>
      <c r="AV11" s="153">
        <f t="shared" si="19"/>
        <v>43846.833333333365</v>
      </c>
      <c r="AW11" s="153">
        <f t="shared" si="20"/>
        <v>0</v>
      </c>
      <c r="AX11" s="153">
        <f t="shared" si="21"/>
        <v>0</v>
      </c>
      <c r="AY11" s="153">
        <f t="shared" si="22"/>
        <v>0</v>
      </c>
      <c r="AZ11" s="153">
        <v>140000</v>
      </c>
      <c r="BA11" s="151">
        <v>26160</v>
      </c>
      <c r="BB11" s="151">
        <v>-4254.47</v>
      </c>
      <c r="BC11" s="153"/>
      <c r="BD11" s="153"/>
      <c r="BE11" s="153"/>
      <c r="BF11" s="153">
        <f t="shared" si="23"/>
        <v>721828.8</v>
      </c>
      <c r="BG11" s="153">
        <f t="shared" si="24"/>
        <v>133215.036091954</v>
      </c>
      <c r="BH11" s="153">
        <f t="shared" si="25"/>
        <v>161905.53</v>
      </c>
      <c r="BI11" s="153">
        <f t="shared" si="26"/>
        <v>43846.833333333365</v>
      </c>
      <c r="BJ11" s="154">
        <f t="shared" si="27"/>
        <v>1016949.366091954</v>
      </c>
      <c r="BK11" s="154">
        <v>1016949.366091954</v>
      </c>
      <c r="BL11" s="154">
        <v>0</v>
      </c>
      <c r="BM11" s="154">
        <v>855043.836091954</v>
      </c>
      <c r="BN11" s="154">
        <v>4071.6373147235904</v>
      </c>
      <c r="BO11" s="154">
        <v>3750.500208888889</v>
      </c>
      <c r="BP11" s="155">
        <v>0.08562514010093611</v>
      </c>
      <c r="BQ11" s="155">
        <v>0</v>
      </c>
      <c r="BR11" s="154">
        <v>0</v>
      </c>
      <c r="BS11" s="156">
        <f t="shared" si="28"/>
        <v>1016949.366091954</v>
      </c>
      <c r="BT11" s="153">
        <v>-459.9</v>
      </c>
      <c r="BU11" s="153">
        <v>-256.2</v>
      </c>
      <c r="BV11" s="157">
        <f t="shared" si="29"/>
        <v>1016233.2660919541</v>
      </c>
      <c r="BW11" s="80"/>
      <c r="BX11" s="208" t="e">
        <f>VLOOKUP(B11,#REF!,22,0)</f>
        <v>#REF!</v>
      </c>
      <c r="BY11" s="211" t="e">
        <f>VLOOKUP(B11,#REF!,11,0)</f>
        <v>#REF!</v>
      </c>
      <c r="BZ11" s="103"/>
      <c r="CA11" s="103"/>
      <c r="CB11" s="127">
        <v>88959</v>
      </c>
      <c r="CD11" s="200">
        <v>55145</v>
      </c>
      <c r="CE11" s="123">
        <v>930</v>
      </c>
      <c r="CF11" s="123">
        <v>9380</v>
      </c>
      <c r="CG11" s="123">
        <v>17812.5</v>
      </c>
      <c r="CH11" s="123">
        <v>70357</v>
      </c>
      <c r="CI11" s="123">
        <v>7161</v>
      </c>
      <c r="CJ11" s="123"/>
      <c r="CK11" s="127"/>
      <c r="CL11" s="2"/>
    </row>
    <row r="12" spans="1:90" ht="14.25">
      <c r="A12" s="185">
        <v>3122016</v>
      </c>
      <c r="B12" s="188">
        <v>2016</v>
      </c>
      <c r="C12" s="102" t="s">
        <v>7</v>
      </c>
      <c r="D12" s="189">
        <v>625</v>
      </c>
      <c r="E12" s="189">
        <v>625</v>
      </c>
      <c r="F12" s="189">
        <v>0</v>
      </c>
      <c r="G12" s="189">
        <v>0</v>
      </c>
      <c r="H12" s="189">
        <v>0</v>
      </c>
      <c r="I12" s="189">
        <v>138.66559485530547</v>
      </c>
      <c r="J12" s="189">
        <v>0</v>
      </c>
      <c r="K12" s="189">
        <v>121</v>
      </c>
      <c r="L12" s="189">
        <v>56</v>
      </c>
      <c r="M12" s="189">
        <v>23</v>
      </c>
      <c r="N12" s="189">
        <v>2</v>
      </c>
      <c r="O12" s="189">
        <v>8</v>
      </c>
      <c r="P12" s="189">
        <v>1</v>
      </c>
      <c r="Q12" s="189">
        <v>0</v>
      </c>
      <c r="R12" s="189">
        <v>0</v>
      </c>
      <c r="S12" s="189">
        <v>0</v>
      </c>
      <c r="T12" s="189">
        <v>0</v>
      </c>
      <c r="U12" s="189">
        <v>0</v>
      </c>
      <c r="V12" s="189">
        <v>0</v>
      </c>
      <c r="W12" s="189">
        <v>130.84112149532686</v>
      </c>
      <c r="X12" s="189">
        <v>0</v>
      </c>
      <c r="Y12" s="189">
        <v>177.001953125</v>
      </c>
      <c r="Z12" s="189">
        <v>0</v>
      </c>
      <c r="AA12" s="189">
        <v>3.500000000000005</v>
      </c>
      <c r="AB12" s="189">
        <v>0</v>
      </c>
      <c r="AC12" s="152">
        <f t="shared" si="0"/>
        <v>2148300</v>
      </c>
      <c r="AD12" s="152">
        <f t="shared" si="1"/>
        <v>0</v>
      </c>
      <c r="AE12" s="152">
        <f t="shared" si="2"/>
        <v>0</v>
      </c>
      <c r="AF12" s="153">
        <f t="shared" si="3"/>
        <v>142983.6414790997</v>
      </c>
      <c r="AG12" s="153">
        <f t="shared" si="4"/>
        <v>0</v>
      </c>
      <c r="AH12" s="153">
        <f t="shared" si="5"/>
        <v>8155.400000000001</v>
      </c>
      <c r="AI12" s="153">
        <f t="shared" si="6"/>
        <v>7548.800000000001</v>
      </c>
      <c r="AJ12" s="153">
        <f t="shared" si="7"/>
        <v>4650.83</v>
      </c>
      <c r="AK12" s="153">
        <f t="shared" si="8"/>
        <v>539.22</v>
      </c>
      <c r="AL12" s="153">
        <f t="shared" si="9"/>
        <v>2696.08</v>
      </c>
      <c r="AM12" s="153">
        <f t="shared" si="10"/>
        <v>404.41</v>
      </c>
      <c r="AN12" s="153">
        <f t="shared" si="11"/>
        <v>0</v>
      </c>
      <c r="AO12" s="153">
        <f t="shared" si="12"/>
        <v>0</v>
      </c>
      <c r="AP12" s="153">
        <f t="shared" si="13"/>
        <v>0</v>
      </c>
      <c r="AQ12" s="153">
        <f t="shared" si="14"/>
        <v>0</v>
      </c>
      <c r="AR12" s="153">
        <f t="shared" si="15"/>
        <v>0</v>
      </c>
      <c r="AS12" s="153">
        <f t="shared" si="16"/>
        <v>0</v>
      </c>
      <c r="AT12" s="153">
        <f t="shared" si="17"/>
        <v>100569.71962616804</v>
      </c>
      <c r="AU12" s="153">
        <f t="shared" si="18"/>
        <v>0</v>
      </c>
      <c r="AV12" s="153">
        <f t="shared" si="19"/>
        <v>108608.3984375</v>
      </c>
      <c r="AW12" s="153">
        <f t="shared" si="20"/>
        <v>0</v>
      </c>
      <c r="AX12" s="153">
        <f t="shared" si="21"/>
        <v>2912.000000000004</v>
      </c>
      <c r="AY12" s="153">
        <f t="shared" si="22"/>
        <v>0</v>
      </c>
      <c r="AZ12" s="153">
        <v>140000</v>
      </c>
      <c r="BA12" s="151">
        <v>59000</v>
      </c>
      <c r="BB12" s="151">
        <v>1942.76</v>
      </c>
      <c r="BC12" s="153"/>
      <c r="BD12" s="153"/>
      <c r="BE12" s="153"/>
      <c r="BF12" s="153">
        <f t="shared" si="23"/>
        <v>2148300</v>
      </c>
      <c r="BG12" s="153">
        <f t="shared" si="24"/>
        <v>379068.4995427677</v>
      </c>
      <c r="BH12" s="153">
        <f t="shared" si="25"/>
        <v>200942.76</v>
      </c>
      <c r="BI12" s="153">
        <f t="shared" si="26"/>
        <v>108608.3984375</v>
      </c>
      <c r="BJ12" s="154">
        <f t="shared" si="27"/>
        <v>2728311.259542768</v>
      </c>
      <c r="BK12" s="154">
        <v>2728311.259542768</v>
      </c>
      <c r="BL12" s="154">
        <v>0</v>
      </c>
      <c r="BM12" s="154">
        <v>2527368.499542768</v>
      </c>
      <c r="BN12" s="154">
        <v>4043.789599268429</v>
      </c>
      <c r="BO12" s="154">
        <v>3849.609520355412</v>
      </c>
      <c r="BP12" s="155">
        <v>0.05044150007585432</v>
      </c>
      <c r="BQ12" s="155">
        <v>0</v>
      </c>
      <c r="BR12" s="154">
        <v>0</v>
      </c>
      <c r="BS12" s="156">
        <f t="shared" si="28"/>
        <v>2728311.259542768</v>
      </c>
      <c r="BT12" s="153">
        <v>-1368.75</v>
      </c>
      <c r="BU12" s="153">
        <v>-762.5</v>
      </c>
      <c r="BV12" s="157">
        <f t="shared" si="29"/>
        <v>2726180.009542768</v>
      </c>
      <c r="BW12" s="80"/>
      <c r="BX12" s="208" t="e">
        <f>VLOOKUP(B12,#REF!,22,0)</f>
        <v>#REF!</v>
      </c>
      <c r="BY12" s="211" t="e">
        <f>VLOOKUP(B12,#REF!,11,0)</f>
        <v>#REF!</v>
      </c>
      <c r="BZ12" s="103"/>
      <c r="CA12" s="103"/>
      <c r="CB12" s="127">
        <v>78851</v>
      </c>
      <c r="CD12" s="200">
        <v>182920</v>
      </c>
      <c r="CE12" s="123">
        <v>930</v>
      </c>
      <c r="CF12" s="123"/>
      <c r="CG12" s="123">
        <v>21854.166666666668</v>
      </c>
      <c r="CH12" s="123">
        <v>96359</v>
      </c>
      <c r="CI12" s="123">
        <v>11596</v>
      </c>
      <c r="CJ12" s="123"/>
      <c r="CK12" s="127"/>
      <c r="CL12" s="2"/>
    </row>
    <row r="13" spans="1:90" ht="14.25">
      <c r="A13" s="185">
        <v>3122017</v>
      </c>
      <c r="B13" s="188">
        <v>2017</v>
      </c>
      <c r="C13" s="102" t="s">
        <v>12</v>
      </c>
      <c r="D13" s="189">
        <v>317</v>
      </c>
      <c r="E13" s="189">
        <v>317</v>
      </c>
      <c r="F13" s="189">
        <v>0</v>
      </c>
      <c r="G13" s="189">
        <v>0</v>
      </c>
      <c r="H13" s="189">
        <v>0</v>
      </c>
      <c r="I13" s="189">
        <v>139.4036144578313</v>
      </c>
      <c r="J13" s="189">
        <v>0</v>
      </c>
      <c r="K13" s="189">
        <v>30</v>
      </c>
      <c r="L13" s="189">
        <v>33.00000000000008</v>
      </c>
      <c r="M13" s="189">
        <v>14.000000000000004</v>
      </c>
      <c r="N13" s="189">
        <v>130.00000000000009</v>
      </c>
      <c r="O13" s="189">
        <v>55.999999999999886</v>
      </c>
      <c r="P13" s="189">
        <v>0</v>
      </c>
      <c r="Q13" s="189">
        <v>0</v>
      </c>
      <c r="R13" s="189">
        <v>0</v>
      </c>
      <c r="S13" s="189">
        <v>0</v>
      </c>
      <c r="T13" s="189">
        <v>0</v>
      </c>
      <c r="U13" s="189">
        <v>0</v>
      </c>
      <c r="V13" s="189">
        <v>0</v>
      </c>
      <c r="W13" s="189">
        <v>105.25868725868725</v>
      </c>
      <c r="X13" s="189">
        <v>0</v>
      </c>
      <c r="Y13" s="189">
        <v>111.9678899082569</v>
      </c>
      <c r="Z13" s="189">
        <v>0</v>
      </c>
      <c r="AA13" s="189">
        <v>19.979999999999865</v>
      </c>
      <c r="AB13" s="189">
        <v>0</v>
      </c>
      <c r="AC13" s="152">
        <f t="shared" si="0"/>
        <v>1089617.76</v>
      </c>
      <c r="AD13" s="152">
        <f t="shared" si="1"/>
        <v>0</v>
      </c>
      <c r="AE13" s="152">
        <f t="shared" si="2"/>
        <v>0</v>
      </c>
      <c r="AF13" s="153">
        <f t="shared" si="3"/>
        <v>143744.64301204818</v>
      </c>
      <c r="AG13" s="153">
        <f t="shared" si="4"/>
        <v>0</v>
      </c>
      <c r="AH13" s="153">
        <f t="shared" si="5"/>
        <v>2022.0000000000002</v>
      </c>
      <c r="AI13" s="153">
        <f t="shared" si="6"/>
        <v>4448.400000000011</v>
      </c>
      <c r="AJ13" s="153">
        <f t="shared" si="7"/>
        <v>2830.940000000001</v>
      </c>
      <c r="AK13" s="153">
        <f t="shared" si="8"/>
        <v>35049.300000000025</v>
      </c>
      <c r="AL13" s="153">
        <f t="shared" si="9"/>
        <v>18872.55999999996</v>
      </c>
      <c r="AM13" s="153">
        <f t="shared" si="10"/>
        <v>0</v>
      </c>
      <c r="AN13" s="153">
        <f t="shared" si="11"/>
        <v>0</v>
      </c>
      <c r="AO13" s="153">
        <f t="shared" si="12"/>
        <v>0</v>
      </c>
      <c r="AP13" s="153">
        <f t="shared" si="13"/>
        <v>0</v>
      </c>
      <c r="AQ13" s="153">
        <f t="shared" si="14"/>
        <v>0</v>
      </c>
      <c r="AR13" s="153">
        <f t="shared" si="15"/>
        <v>0</v>
      </c>
      <c r="AS13" s="153">
        <f t="shared" si="16"/>
        <v>0</v>
      </c>
      <c r="AT13" s="153">
        <f t="shared" si="17"/>
        <v>80906.03737451736</v>
      </c>
      <c r="AU13" s="153">
        <f t="shared" si="18"/>
        <v>0</v>
      </c>
      <c r="AV13" s="153">
        <f t="shared" si="19"/>
        <v>68703.49724770643</v>
      </c>
      <c r="AW13" s="153">
        <f t="shared" si="20"/>
        <v>0</v>
      </c>
      <c r="AX13" s="153">
        <f t="shared" si="21"/>
        <v>16623.359999999888</v>
      </c>
      <c r="AY13" s="153">
        <f t="shared" si="22"/>
        <v>0</v>
      </c>
      <c r="AZ13" s="153">
        <v>140000</v>
      </c>
      <c r="BA13" s="151">
        <v>8304</v>
      </c>
      <c r="BB13" s="151">
        <v>-3271.5</v>
      </c>
      <c r="BC13" s="153"/>
      <c r="BD13" s="153"/>
      <c r="BE13" s="153"/>
      <c r="BF13" s="153">
        <f t="shared" si="23"/>
        <v>1089617.76</v>
      </c>
      <c r="BG13" s="153">
        <f t="shared" si="24"/>
        <v>373200.73763427185</v>
      </c>
      <c r="BH13" s="153">
        <f t="shared" si="25"/>
        <v>145032.5</v>
      </c>
      <c r="BI13" s="153">
        <f t="shared" si="26"/>
        <v>68703.49724770643</v>
      </c>
      <c r="BJ13" s="154">
        <f t="shared" si="27"/>
        <v>1607850.9976342719</v>
      </c>
      <c r="BK13" s="154">
        <v>1607850.9976342719</v>
      </c>
      <c r="BL13" s="154">
        <v>0</v>
      </c>
      <c r="BM13" s="154">
        <v>1462818.4976342719</v>
      </c>
      <c r="BN13" s="154">
        <v>4614.56939316805</v>
      </c>
      <c r="BO13" s="154">
        <v>4520.74064207317</v>
      </c>
      <c r="BP13" s="155">
        <v>0.020755172332082825</v>
      </c>
      <c r="BQ13" s="155">
        <v>0</v>
      </c>
      <c r="BR13" s="154">
        <v>0</v>
      </c>
      <c r="BS13" s="156">
        <f t="shared" si="28"/>
        <v>1607850.9976342719</v>
      </c>
      <c r="BT13" s="153">
        <v>0</v>
      </c>
      <c r="BU13" s="153">
        <v>0</v>
      </c>
      <c r="BV13" s="157">
        <f t="shared" si="29"/>
        <v>1607850.9976342719</v>
      </c>
      <c r="BW13" s="80"/>
      <c r="BX13" s="208" t="e">
        <f>VLOOKUP(B13,#REF!,22,0)</f>
        <v>#REF!</v>
      </c>
      <c r="BY13" s="211" t="e">
        <f>VLOOKUP(B13,#REF!,11,0)</f>
        <v>#REF!</v>
      </c>
      <c r="BZ13" s="103"/>
      <c r="CA13" s="103"/>
      <c r="CB13" s="127">
        <v>64242</v>
      </c>
      <c r="CD13" s="200">
        <v>0</v>
      </c>
      <c r="CE13" s="123"/>
      <c r="CF13" s="123"/>
      <c r="CG13" s="123"/>
      <c r="CH13" s="123"/>
      <c r="CI13" s="123"/>
      <c r="CJ13" s="123"/>
      <c r="CK13" s="127"/>
      <c r="CL13" s="2"/>
    </row>
    <row r="14" spans="1:90" ht="14.25">
      <c r="A14" s="185">
        <v>3122018</v>
      </c>
      <c r="B14" s="188">
        <v>2018</v>
      </c>
      <c r="C14" s="102" t="s">
        <v>8</v>
      </c>
      <c r="D14" s="189">
        <v>408</v>
      </c>
      <c r="E14" s="189">
        <v>408</v>
      </c>
      <c r="F14" s="189">
        <v>0</v>
      </c>
      <c r="G14" s="189">
        <v>0</v>
      </c>
      <c r="H14" s="189">
        <v>0</v>
      </c>
      <c r="I14" s="189">
        <v>81</v>
      </c>
      <c r="J14" s="189">
        <v>0</v>
      </c>
      <c r="K14" s="189">
        <v>36.00000000000002</v>
      </c>
      <c r="L14" s="189">
        <v>62.99999999999986</v>
      </c>
      <c r="M14" s="189">
        <v>12.00000000000002</v>
      </c>
      <c r="N14" s="189">
        <v>2.0000000000000018</v>
      </c>
      <c r="O14" s="189">
        <v>4.999999999999995</v>
      </c>
      <c r="P14" s="189">
        <v>0</v>
      </c>
      <c r="Q14" s="189">
        <v>0</v>
      </c>
      <c r="R14" s="189">
        <v>0</v>
      </c>
      <c r="S14" s="189">
        <v>0</v>
      </c>
      <c r="T14" s="189">
        <v>0</v>
      </c>
      <c r="U14" s="189">
        <v>0</v>
      </c>
      <c r="V14" s="189">
        <v>0</v>
      </c>
      <c r="W14" s="189">
        <v>47.99999999999983</v>
      </c>
      <c r="X14" s="189">
        <v>0</v>
      </c>
      <c r="Y14" s="189">
        <v>154.17994858611823</v>
      </c>
      <c r="Z14" s="189">
        <v>0</v>
      </c>
      <c r="AA14" s="189">
        <v>0</v>
      </c>
      <c r="AB14" s="189">
        <v>0</v>
      </c>
      <c r="AC14" s="152">
        <f t="shared" si="0"/>
        <v>1402410.24</v>
      </c>
      <c r="AD14" s="152">
        <f t="shared" si="1"/>
        <v>0</v>
      </c>
      <c r="AE14" s="152">
        <f t="shared" si="2"/>
        <v>0</v>
      </c>
      <c r="AF14" s="153">
        <f t="shared" si="3"/>
        <v>83522.34000000001</v>
      </c>
      <c r="AG14" s="153">
        <f t="shared" si="4"/>
        <v>0</v>
      </c>
      <c r="AH14" s="153">
        <f t="shared" si="5"/>
        <v>2426.4000000000015</v>
      </c>
      <c r="AI14" s="153">
        <f t="shared" si="6"/>
        <v>8492.399999999981</v>
      </c>
      <c r="AJ14" s="153">
        <f t="shared" si="7"/>
        <v>2426.520000000004</v>
      </c>
      <c r="AK14" s="153">
        <f t="shared" si="8"/>
        <v>539.2200000000005</v>
      </c>
      <c r="AL14" s="153">
        <f t="shared" si="9"/>
        <v>1685.0499999999981</v>
      </c>
      <c r="AM14" s="153">
        <f t="shared" si="10"/>
        <v>0</v>
      </c>
      <c r="AN14" s="153">
        <f t="shared" si="11"/>
        <v>0</v>
      </c>
      <c r="AO14" s="153">
        <f t="shared" si="12"/>
        <v>0</v>
      </c>
      <c r="AP14" s="153">
        <f t="shared" si="13"/>
        <v>0</v>
      </c>
      <c r="AQ14" s="153">
        <f t="shared" si="14"/>
        <v>0</v>
      </c>
      <c r="AR14" s="153">
        <f t="shared" si="15"/>
        <v>0</v>
      </c>
      <c r="AS14" s="153">
        <f t="shared" si="16"/>
        <v>0</v>
      </c>
      <c r="AT14" s="153">
        <f t="shared" si="17"/>
        <v>36894.71999999987</v>
      </c>
      <c r="AU14" s="153">
        <f t="shared" si="18"/>
        <v>0</v>
      </c>
      <c r="AV14" s="153">
        <f t="shared" si="19"/>
        <v>94604.81645244214</v>
      </c>
      <c r="AW14" s="153">
        <f t="shared" si="20"/>
        <v>0</v>
      </c>
      <c r="AX14" s="153">
        <f t="shared" si="21"/>
        <v>0</v>
      </c>
      <c r="AY14" s="153">
        <f t="shared" si="22"/>
        <v>0</v>
      </c>
      <c r="AZ14" s="153">
        <v>140000</v>
      </c>
      <c r="BA14" s="151">
        <v>38750</v>
      </c>
      <c r="BB14" s="151">
        <v>1409.23</v>
      </c>
      <c r="BC14" s="153"/>
      <c r="BD14" s="153"/>
      <c r="BE14" s="153"/>
      <c r="BF14" s="153">
        <f t="shared" si="23"/>
        <v>1402410.24</v>
      </c>
      <c r="BG14" s="153">
        <f t="shared" si="24"/>
        <v>230591.46645244202</v>
      </c>
      <c r="BH14" s="153">
        <f t="shared" si="25"/>
        <v>180159.23</v>
      </c>
      <c r="BI14" s="153">
        <f t="shared" si="26"/>
        <v>94604.81645244214</v>
      </c>
      <c r="BJ14" s="154">
        <f t="shared" si="27"/>
        <v>1813160.936452442</v>
      </c>
      <c r="BK14" s="154">
        <v>1813160.946452442</v>
      </c>
      <c r="BL14" s="154">
        <v>0</v>
      </c>
      <c r="BM14" s="154">
        <v>1633001.706452442</v>
      </c>
      <c r="BN14" s="154">
        <v>4002.4551628736326</v>
      </c>
      <c r="BO14" s="154">
        <v>3788.187740096618</v>
      </c>
      <c r="BP14" s="155">
        <v>0.0565619862260442</v>
      </c>
      <c r="BQ14" s="155">
        <v>0</v>
      </c>
      <c r="BR14" s="154">
        <v>0</v>
      </c>
      <c r="BS14" s="156">
        <f t="shared" si="28"/>
        <v>1813160.936452442</v>
      </c>
      <c r="BT14" s="153">
        <v>-893.52</v>
      </c>
      <c r="BU14" s="153">
        <v>-497.76</v>
      </c>
      <c r="BV14" s="157">
        <f t="shared" si="29"/>
        <v>1811769.656452442</v>
      </c>
      <c r="BW14" s="80"/>
      <c r="BX14" s="208"/>
      <c r="BY14" s="211"/>
      <c r="BZ14" s="103"/>
      <c r="CA14" s="103"/>
      <c r="CB14" s="127">
        <v>97784</v>
      </c>
      <c r="CD14" s="200">
        <v>108945</v>
      </c>
      <c r="CE14" s="123"/>
      <c r="CF14" s="123"/>
      <c r="CG14" s="123">
        <v>20080</v>
      </c>
      <c r="CH14" s="123"/>
      <c r="CI14" s="123">
        <v>8556</v>
      </c>
      <c r="CJ14" s="123"/>
      <c r="CK14" s="127"/>
      <c r="CL14" s="2"/>
    </row>
    <row r="15" spans="1:90" ht="14.25">
      <c r="A15" s="185">
        <v>3122019</v>
      </c>
      <c r="B15" s="188">
        <v>2019</v>
      </c>
      <c r="C15" s="102" t="s">
        <v>151</v>
      </c>
      <c r="D15" s="189">
        <v>328</v>
      </c>
      <c r="E15" s="189">
        <v>328</v>
      </c>
      <c r="F15" s="189">
        <v>0</v>
      </c>
      <c r="G15" s="189">
        <v>0</v>
      </c>
      <c r="H15" s="189">
        <v>0</v>
      </c>
      <c r="I15" s="189">
        <v>35.14285714285714</v>
      </c>
      <c r="J15" s="189">
        <v>0</v>
      </c>
      <c r="K15" s="189">
        <v>45.000000000000156</v>
      </c>
      <c r="L15" s="189">
        <v>41</v>
      </c>
      <c r="M15" s="189">
        <v>14.000000000000004</v>
      </c>
      <c r="N15" s="189">
        <v>0</v>
      </c>
      <c r="O15" s="189">
        <v>2.9999999999999987</v>
      </c>
      <c r="P15" s="189">
        <v>0</v>
      </c>
      <c r="Q15" s="189">
        <v>0</v>
      </c>
      <c r="R15" s="189">
        <v>0</v>
      </c>
      <c r="S15" s="189">
        <v>0</v>
      </c>
      <c r="T15" s="189">
        <v>0</v>
      </c>
      <c r="U15" s="189">
        <v>0</v>
      </c>
      <c r="V15" s="189">
        <v>0</v>
      </c>
      <c r="W15" s="189">
        <v>156.4770642201834</v>
      </c>
      <c r="X15" s="189">
        <v>0</v>
      </c>
      <c r="Y15" s="189">
        <v>102.59715639810435</v>
      </c>
      <c r="Z15" s="189">
        <v>0</v>
      </c>
      <c r="AA15" s="189">
        <v>0</v>
      </c>
      <c r="AB15" s="189">
        <v>0</v>
      </c>
      <c r="AC15" s="152">
        <f t="shared" si="0"/>
        <v>1127427.84</v>
      </c>
      <c r="AD15" s="152">
        <f t="shared" si="1"/>
        <v>0</v>
      </c>
      <c r="AE15" s="152">
        <f t="shared" si="2"/>
        <v>0</v>
      </c>
      <c r="AF15" s="153">
        <f t="shared" si="3"/>
        <v>36237.205714285716</v>
      </c>
      <c r="AG15" s="153">
        <f t="shared" si="4"/>
        <v>0</v>
      </c>
      <c r="AH15" s="153">
        <f t="shared" si="5"/>
        <v>3033.000000000011</v>
      </c>
      <c r="AI15" s="153">
        <f t="shared" si="6"/>
        <v>5526.8</v>
      </c>
      <c r="AJ15" s="153">
        <f t="shared" si="7"/>
        <v>2830.940000000001</v>
      </c>
      <c r="AK15" s="153">
        <f t="shared" si="8"/>
        <v>0</v>
      </c>
      <c r="AL15" s="153">
        <f t="shared" si="9"/>
        <v>1011.0299999999995</v>
      </c>
      <c r="AM15" s="153">
        <f t="shared" si="10"/>
        <v>0</v>
      </c>
      <c r="AN15" s="153">
        <f t="shared" si="11"/>
        <v>0</v>
      </c>
      <c r="AO15" s="153">
        <f t="shared" si="12"/>
        <v>0</v>
      </c>
      <c r="AP15" s="153">
        <f t="shared" si="13"/>
        <v>0</v>
      </c>
      <c r="AQ15" s="153">
        <f t="shared" si="14"/>
        <v>0</v>
      </c>
      <c r="AR15" s="153">
        <f t="shared" si="15"/>
        <v>0</v>
      </c>
      <c r="AS15" s="153">
        <f t="shared" si="16"/>
        <v>0</v>
      </c>
      <c r="AT15" s="153">
        <f t="shared" si="17"/>
        <v>120274.53064220176</v>
      </c>
      <c r="AU15" s="153">
        <f t="shared" si="18"/>
        <v>0</v>
      </c>
      <c r="AV15" s="153">
        <f t="shared" si="19"/>
        <v>62953.61516587683</v>
      </c>
      <c r="AW15" s="153">
        <f t="shared" si="20"/>
        <v>0</v>
      </c>
      <c r="AX15" s="153">
        <f t="shared" si="21"/>
        <v>0</v>
      </c>
      <c r="AY15" s="153">
        <f t="shared" si="22"/>
        <v>0</v>
      </c>
      <c r="AZ15" s="153">
        <v>140000</v>
      </c>
      <c r="BA15" s="151">
        <v>38750</v>
      </c>
      <c r="BB15" s="151">
        <v>1409.24</v>
      </c>
      <c r="BC15" s="153"/>
      <c r="BD15" s="153"/>
      <c r="BE15" s="153"/>
      <c r="BF15" s="153">
        <f t="shared" si="23"/>
        <v>1127427.84</v>
      </c>
      <c r="BG15" s="153">
        <f t="shared" si="24"/>
        <v>231867.12152236432</v>
      </c>
      <c r="BH15" s="153">
        <f t="shared" si="25"/>
        <v>180159.24</v>
      </c>
      <c r="BI15" s="153">
        <f t="shared" si="26"/>
        <v>62953.61516587683</v>
      </c>
      <c r="BJ15" s="154">
        <f t="shared" si="27"/>
        <v>1539454.2015223645</v>
      </c>
      <c r="BK15" s="154">
        <v>1539454.2015223643</v>
      </c>
      <c r="BL15" s="154">
        <v>0</v>
      </c>
      <c r="BM15" s="154">
        <v>1359294.9615223645</v>
      </c>
      <c r="BN15" s="154">
        <v>4144.191955860868</v>
      </c>
      <c r="BO15" s="154">
        <v>3856.4886247126437</v>
      </c>
      <c r="BP15" s="155">
        <v>0.07460240626786799</v>
      </c>
      <c r="BQ15" s="155">
        <v>0</v>
      </c>
      <c r="BR15" s="154">
        <v>0</v>
      </c>
      <c r="BS15" s="156">
        <f t="shared" si="28"/>
        <v>1539454.2015223645</v>
      </c>
      <c r="BT15" s="153">
        <v>-718.3199999999999</v>
      </c>
      <c r="BU15" s="153">
        <v>-400.15999999999997</v>
      </c>
      <c r="BV15" s="157">
        <f t="shared" si="29"/>
        <v>1538335.7215223645</v>
      </c>
      <c r="BW15" s="80"/>
      <c r="BX15" s="208" t="e">
        <f>VLOOKUP(B15,#REF!,22,0)</f>
        <v>#REF!</v>
      </c>
      <c r="BY15" s="211" t="e">
        <f>VLOOKUP(B15,#REF!,11,0)</f>
        <v>#REF!</v>
      </c>
      <c r="BZ15" s="103"/>
      <c r="CA15" s="103"/>
      <c r="CB15" s="127">
        <v>16043</v>
      </c>
      <c r="CD15" s="200">
        <v>48420</v>
      </c>
      <c r="CE15" s="123"/>
      <c r="CF15" s="123"/>
      <c r="CG15" s="123">
        <v>18846.666666666668</v>
      </c>
      <c r="CH15" s="123">
        <v>121049</v>
      </c>
      <c r="CI15" s="123">
        <v>8757</v>
      </c>
      <c r="CJ15" s="123"/>
      <c r="CK15" s="127"/>
      <c r="CL15" s="2"/>
    </row>
    <row r="16" spans="1:90" ht="14.25">
      <c r="A16" s="185">
        <v>3122020</v>
      </c>
      <c r="B16" s="188">
        <v>2020</v>
      </c>
      <c r="C16" s="102" t="s">
        <v>9</v>
      </c>
      <c r="D16" s="189">
        <v>597</v>
      </c>
      <c r="E16" s="189">
        <v>597</v>
      </c>
      <c r="F16" s="189">
        <v>0</v>
      </c>
      <c r="G16" s="189">
        <v>0</v>
      </c>
      <c r="H16" s="189">
        <v>0</v>
      </c>
      <c r="I16" s="189">
        <v>46.721739130434784</v>
      </c>
      <c r="J16" s="189">
        <v>0</v>
      </c>
      <c r="K16" s="189">
        <v>48.00000000000003</v>
      </c>
      <c r="L16" s="189">
        <v>23.999999999999982</v>
      </c>
      <c r="M16" s="189">
        <v>16.999999999999986</v>
      </c>
      <c r="N16" s="189">
        <v>3.999999999999997</v>
      </c>
      <c r="O16" s="189">
        <v>2.999999999999998</v>
      </c>
      <c r="P16" s="189">
        <v>0</v>
      </c>
      <c r="Q16" s="189">
        <v>0</v>
      </c>
      <c r="R16" s="189">
        <v>0</v>
      </c>
      <c r="S16" s="189">
        <v>0</v>
      </c>
      <c r="T16" s="189">
        <v>0</v>
      </c>
      <c r="U16" s="189">
        <v>0</v>
      </c>
      <c r="V16" s="189">
        <v>0</v>
      </c>
      <c r="W16" s="189">
        <v>57.514450867052</v>
      </c>
      <c r="X16" s="189">
        <v>0</v>
      </c>
      <c r="Y16" s="189">
        <v>184.81466395112022</v>
      </c>
      <c r="Z16" s="189">
        <v>0</v>
      </c>
      <c r="AA16" s="189">
        <v>12.180000000000026</v>
      </c>
      <c r="AB16" s="189">
        <v>0</v>
      </c>
      <c r="AC16" s="152">
        <f t="shared" si="0"/>
        <v>2052056.1600000001</v>
      </c>
      <c r="AD16" s="152">
        <f t="shared" si="1"/>
        <v>0</v>
      </c>
      <c r="AE16" s="152">
        <f t="shared" si="2"/>
        <v>0</v>
      </c>
      <c r="AF16" s="153">
        <f t="shared" si="3"/>
        <v>48176.65408695653</v>
      </c>
      <c r="AG16" s="153">
        <f t="shared" si="4"/>
        <v>0</v>
      </c>
      <c r="AH16" s="153">
        <f t="shared" si="5"/>
        <v>3235.200000000002</v>
      </c>
      <c r="AI16" s="153">
        <f t="shared" si="6"/>
        <v>3235.199999999998</v>
      </c>
      <c r="AJ16" s="153">
        <f t="shared" si="7"/>
        <v>3437.5699999999974</v>
      </c>
      <c r="AK16" s="153">
        <f t="shared" si="8"/>
        <v>1078.4399999999991</v>
      </c>
      <c r="AL16" s="153">
        <f t="shared" si="9"/>
        <v>1011.0299999999992</v>
      </c>
      <c r="AM16" s="153">
        <f t="shared" si="10"/>
        <v>0</v>
      </c>
      <c r="AN16" s="153">
        <f t="shared" si="11"/>
        <v>0</v>
      </c>
      <c r="AO16" s="153">
        <f t="shared" si="12"/>
        <v>0</v>
      </c>
      <c r="AP16" s="153">
        <f t="shared" si="13"/>
        <v>0</v>
      </c>
      <c r="AQ16" s="153">
        <f t="shared" si="14"/>
        <v>0</v>
      </c>
      <c r="AR16" s="153">
        <f t="shared" si="15"/>
        <v>0</v>
      </c>
      <c r="AS16" s="153">
        <f t="shared" si="16"/>
        <v>0</v>
      </c>
      <c r="AT16" s="153">
        <f t="shared" si="17"/>
        <v>44207.907514450846</v>
      </c>
      <c r="AU16" s="153">
        <f t="shared" si="18"/>
        <v>0</v>
      </c>
      <c r="AV16" s="153">
        <f t="shared" si="19"/>
        <v>113402.27780040738</v>
      </c>
      <c r="AW16" s="153">
        <f t="shared" si="20"/>
        <v>0</v>
      </c>
      <c r="AX16" s="153">
        <f t="shared" si="21"/>
        <v>10133.760000000022</v>
      </c>
      <c r="AY16" s="153">
        <f t="shared" si="22"/>
        <v>0</v>
      </c>
      <c r="AZ16" s="153">
        <v>140000</v>
      </c>
      <c r="BA16" s="151">
        <v>77000</v>
      </c>
      <c r="BB16" s="151">
        <v>3110.54</v>
      </c>
      <c r="BC16" s="153"/>
      <c r="BD16" s="153"/>
      <c r="BE16" s="153"/>
      <c r="BF16" s="153">
        <f t="shared" si="23"/>
        <v>2052056.1600000001</v>
      </c>
      <c r="BG16" s="153">
        <f t="shared" si="24"/>
        <v>227918.03940181475</v>
      </c>
      <c r="BH16" s="153">
        <f t="shared" si="25"/>
        <v>220110.54</v>
      </c>
      <c r="BI16" s="153">
        <f t="shared" si="26"/>
        <v>113402.27780040738</v>
      </c>
      <c r="BJ16" s="154">
        <f t="shared" si="27"/>
        <v>2500084.739401815</v>
      </c>
      <c r="BK16" s="154">
        <v>2500084.7394018155</v>
      </c>
      <c r="BL16" s="154">
        <v>0</v>
      </c>
      <c r="BM16" s="154">
        <v>2279974.199401815</v>
      </c>
      <c r="BN16" s="154">
        <v>3819.052260304548</v>
      </c>
      <c r="BO16" s="154">
        <v>3536.762713171577</v>
      </c>
      <c r="BP16" s="155">
        <v>0.07981580050074344</v>
      </c>
      <c r="BQ16" s="155">
        <v>0</v>
      </c>
      <c r="BR16" s="154">
        <v>0</v>
      </c>
      <c r="BS16" s="156">
        <f t="shared" si="28"/>
        <v>2500084.739401815</v>
      </c>
      <c r="BT16" s="153">
        <v>-1307.43</v>
      </c>
      <c r="BU16" s="153">
        <v>-728.34</v>
      </c>
      <c r="BV16" s="157">
        <f t="shared" si="29"/>
        <v>2498048.969401815</v>
      </c>
      <c r="BW16" s="80"/>
      <c r="BX16" s="208" t="e">
        <f>VLOOKUP(B16,#REF!,22,0)</f>
        <v>#REF!</v>
      </c>
      <c r="BY16" s="211" t="e">
        <f>VLOOKUP(B16,#REF!,11,0)</f>
        <v>#REF!</v>
      </c>
      <c r="BZ16" s="103"/>
      <c r="CA16" s="103"/>
      <c r="CB16" s="127">
        <v>97224</v>
      </c>
      <c r="CD16" s="200">
        <v>60525</v>
      </c>
      <c r="CE16" s="123">
        <v>18290</v>
      </c>
      <c r="CF16" s="123">
        <v>2345</v>
      </c>
      <c r="CG16" s="123">
        <v>21507.5</v>
      </c>
      <c r="CH16" s="123">
        <v>91770</v>
      </c>
      <c r="CI16" s="123">
        <v>10502</v>
      </c>
      <c r="CJ16" s="123"/>
      <c r="CK16" s="127"/>
      <c r="CL16" s="2"/>
    </row>
    <row r="17" spans="1:90" ht="14.25">
      <c r="A17" s="185">
        <v>3122021</v>
      </c>
      <c r="B17" s="188">
        <v>2021</v>
      </c>
      <c r="C17" s="120" t="s">
        <v>143</v>
      </c>
      <c r="D17" s="189">
        <v>380</v>
      </c>
      <c r="E17" s="189">
        <v>380</v>
      </c>
      <c r="F17" s="189">
        <v>0</v>
      </c>
      <c r="G17" s="189">
        <v>0</v>
      </c>
      <c r="H17" s="189">
        <v>0</v>
      </c>
      <c r="I17" s="189">
        <v>71.6795865633075</v>
      </c>
      <c r="J17" s="189">
        <v>0</v>
      </c>
      <c r="K17" s="189">
        <v>87.2295514511873</v>
      </c>
      <c r="L17" s="189">
        <v>107.28232189973625</v>
      </c>
      <c r="M17" s="189">
        <v>72.18997361477588</v>
      </c>
      <c r="N17" s="189">
        <v>11.02902374670186</v>
      </c>
      <c r="O17" s="189">
        <v>7.018469656992073</v>
      </c>
      <c r="P17" s="189">
        <v>0</v>
      </c>
      <c r="Q17" s="189">
        <v>0</v>
      </c>
      <c r="R17" s="189">
        <v>0</v>
      </c>
      <c r="S17" s="189">
        <v>0</v>
      </c>
      <c r="T17" s="189">
        <v>0</v>
      </c>
      <c r="U17" s="189">
        <v>0</v>
      </c>
      <c r="V17" s="189">
        <v>0</v>
      </c>
      <c r="W17" s="189">
        <v>143.81538461538446</v>
      </c>
      <c r="X17" s="189">
        <v>0</v>
      </c>
      <c r="Y17" s="189">
        <v>106.19528619528603</v>
      </c>
      <c r="Z17" s="189">
        <v>0</v>
      </c>
      <c r="AA17" s="189">
        <v>14.297625329815295</v>
      </c>
      <c r="AB17" s="189">
        <v>0</v>
      </c>
      <c r="AC17" s="152">
        <f t="shared" si="0"/>
        <v>1306166.4000000001</v>
      </c>
      <c r="AD17" s="152">
        <f t="shared" si="1"/>
        <v>0</v>
      </c>
      <c r="AE17" s="152">
        <f t="shared" si="2"/>
        <v>0</v>
      </c>
      <c r="AF17" s="153">
        <f t="shared" si="3"/>
        <v>73911.6888888889</v>
      </c>
      <c r="AG17" s="153">
        <f t="shared" si="4"/>
        <v>0</v>
      </c>
      <c r="AH17" s="153">
        <f t="shared" si="5"/>
        <v>5879.271767810025</v>
      </c>
      <c r="AI17" s="153">
        <f t="shared" si="6"/>
        <v>14461.656992084447</v>
      </c>
      <c r="AJ17" s="153">
        <f t="shared" si="7"/>
        <v>14597.53456464383</v>
      </c>
      <c r="AK17" s="153">
        <f t="shared" si="8"/>
        <v>2973.535092348289</v>
      </c>
      <c r="AL17" s="153">
        <f t="shared" si="9"/>
        <v>2365.2944591028986</v>
      </c>
      <c r="AM17" s="153">
        <f t="shared" si="10"/>
        <v>0</v>
      </c>
      <c r="AN17" s="153">
        <f t="shared" si="11"/>
        <v>0</v>
      </c>
      <c r="AO17" s="153">
        <f t="shared" si="12"/>
        <v>0</v>
      </c>
      <c r="AP17" s="153">
        <f t="shared" si="13"/>
        <v>0</v>
      </c>
      <c r="AQ17" s="153">
        <f t="shared" si="14"/>
        <v>0</v>
      </c>
      <c r="AR17" s="153">
        <f t="shared" si="15"/>
        <v>0</v>
      </c>
      <c r="AS17" s="153">
        <f t="shared" si="16"/>
        <v>0</v>
      </c>
      <c r="AT17" s="153">
        <f t="shared" si="17"/>
        <v>110542.25723076912</v>
      </c>
      <c r="AU17" s="153">
        <f t="shared" si="18"/>
        <v>0</v>
      </c>
      <c r="AV17" s="153">
        <f t="shared" si="19"/>
        <v>65161.42760942751</v>
      </c>
      <c r="AW17" s="153">
        <f t="shared" si="20"/>
        <v>0</v>
      </c>
      <c r="AX17" s="153">
        <f t="shared" si="21"/>
        <v>11895.624274406326</v>
      </c>
      <c r="AY17" s="153">
        <f t="shared" si="22"/>
        <v>0</v>
      </c>
      <c r="AZ17" s="153">
        <v>140000</v>
      </c>
      <c r="BA17" s="151">
        <v>0</v>
      </c>
      <c r="BB17" s="151">
        <v>0</v>
      </c>
      <c r="BC17" s="153"/>
      <c r="BD17" s="153"/>
      <c r="BE17" s="153"/>
      <c r="BF17" s="153">
        <f t="shared" si="23"/>
        <v>1306166.4000000001</v>
      </c>
      <c r="BG17" s="153">
        <f t="shared" si="24"/>
        <v>301788.29087948136</v>
      </c>
      <c r="BH17" s="153">
        <f t="shared" si="25"/>
        <v>140000</v>
      </c>
      <c r="BI17" s="153">
        <f t="shared" si="26"/>
        <v>65161.42760942751</v>
      </c>
      <c r="BJ17" s="154">
        <f t="shared" si="27"/>
        <v>1747954.6908794814</v>
      </c>
      <c r="BK17" s="154">
        <v>1747954.6908794814</v>
      </c>
      <c r="BL17" s="154">
        <v>0</v>
      </c>
      <c r="BM17" s="154">
        <v>1607954.6908794814</v>
      </c>
      <c r="BN17" s="154">
        <v>4231.45971284074</v>
      </c>
      <c r="BO17" s="154">
        <v>4095.478425515464</v>
      </c>
      <c r="BP17" s="155">
        <v>0.03320278443614593</v>
      </c>
      <c r="BQ17" s="155">
        <v>0</v>
      </c>
      <c r="BR17" s="154">
        <v>0</v>
      </c>
      <c r="BS17" s="156">
        <f t="shared" si="28"/>
        <v>1747954.6908794814</v>
      </c>
      <c r="BT17" s="153">
        <v>0</v>
      </c>
      <c r="BU17" s="153">
        <v>0</v>
      </c>
      <c r="BV17" s="157">
        <f t="shared" si="29"/>
        <v>1747954.6908794814</v>
      </c>
      <c r="BW17" s="80"/>
      <c r="BX17" s="208" t="e">
        <f>VLOOKUP(B17,#REF!,22,0)</f>
        <v>#REF!</v>
      </c>
      <c r="BY17" s="211"/>
      <c r="BZ17" s="103"/>
      <c r="CA17" s="103"/>
      <c r="CB17" s="127">
        <v>12200</v>
      </c>
      <c r="CD17" s="200"/>
      <c r="CE17" s="123"/>
      <c r="CF17" s="123"/>
      <c r="CG17" s="123"/>
      <c r="CH17" s="123"/>
      <c r="CI17" s="123"/>
      <c r="CJ17" s="123"/>
      <c r="CK17" s="127"/>
      <c r="CL17" s="2"/>
    </row>
    <row r="18" spans="1:90" ht="14.25">
      <c r="A18" s="185">
        <v>3122022</v>
      </c>
      <c r="B18" s="188">
        <v>2022</v>
      </c>
      <c r="C18" s="102" t="s">
        <v>133</v>
      </c>
      <c r="D18" s="189">
        <v>216</v>
      </c>
      <c r="E18" s="189">
        <v>216</v>
      </c>
      <c r="F18" s="189">
        <v>0</v>
      </c>
      <c r="G18" s="189">
        <v>0</v>
      </c>
      <c r="H18" s="189">
        <v>0</v>
      </c>
      <c r="I18" s="189">
        <v>19.058823529411764</v>
      </c>
      <c r="J18" s="189">
        <v>0</v>
      </c>
      <c r="K18" s="189">
        <v>60.999999999999915</v>
      </c>
      <c r="L18" s="189">
        <v>34.99999999999999</v>
      </c>
      <c r="M18" s="189">
        <v>39.999999999999964</v>
      </c>
      <c r="N18" s="189">
        <v>6.999999999999998</v>
      </c>
      <c r="O18" s="189">
        <v>7.999999999999992</v>
      </c>
      <c r="P18" s="189">
        <v>0</v>
      </c>
      <c r="Q18" s="189">
        <v>0</v>
      </c>
      <c r="R18" s="189">
        <v>0</v>
      </c>
      <c r="S18" s="189">
        <v>0</v>
      </c>
      <c r="T18" s="189">
        <v>0</v>
      </c>
      <c r="U18" s="189">
        <v>0</v>
      </c>
      <c r="V18" s="189">
        <v>0</v>
      </c>
      <c r="W18" s="189">
        <v>4.999999999999989</v>
      </c>
      <c r="X18" s="189">
        <v>0</v>
      </c>
      <c r="Y18" s="189">
        <v>56.67326732673259</v>
      </c>
      <c r="Z18" s="189">
        <v>0</v>
      </c>
      <c r="AA18" s="189">
        <v>11.039999999999974</v>
      </c>
      <c r="AB18" s="189">
        <v>0</v>
      </c>
      <c r="AC18" s="152">
        <f t="shared" si="0"/>
        <v>742452.4800000001</v>
      </c>
      <c r="AD18" s="152">
        <f t="shared" si="1"/>
        <v>0</v>
      </c>
      <c r="AE18" s="152">
        <f t="shared" si="2"/>
        <v>0</v>
      </c>
      <c r="AF18" s="153">
        <f t="shared" si="3"/>
        <v>19652.31529411765</v>
      </c>
      <c r="AG18" s="153">
        <f t="shared" si="4"/>
        <v>0</v>
      </c>
      <c r="AH18" s="153">
        <f t="shared" si="5"/>
        <v>4111.399999999994</v>
      </c>
      <c r="AI18" s="153">
        <f t="shared" si="6"/>
        <v>4717.999999999999</v>
      </c>
      <c r="AJ18" s="153">
        <f t="shared" si="7"/>
        <v>8088.399999999993</v>
      </c>
      <c r="AK18" s="153">
        <f t="shared" si="8"/>
        <v>1887.2699999999995</v>
      </c>
      <c r="AL18" s="153">
        <f t="shared" si="9"/>
        <v>2696.079999999997</v>
      </c>
      <c r="AM18" s="153">
        <f t="shared" si="10"/>
        <v>0</v>
      </c>
      <c r="AN18" s="153">
        <f t="shared" si="11"/>
        <v>0</v>
      </c>
      <c r="AO18" s="153">
        <f t="shared" si="12"/>
        <v>0</v>
      </c>
      <c r="AP18" s="153">
        <f t="shared" si="13"/>
        <v>0</v>
      </c>
      <c r="AQ18" s="153">
        <f t="shared" si="14"/>
        <v>0</v>
      </c>
      <c r="AR18" s="153">
        <f t="shared" si="15"/>
        <v>0</v>
      </c>
      <c r="AS18" s="153">
        <f t="shared" si="16"/>
        <v>0</v>
      </c>
      <c r="AT18" s="153">
        <f t="shared" si="17"/>
        <v>3843.1999999999916</v>
      </c>
      <c r="AU18" s="153">
        <f t="shared" si="18"/>
        <v>0</v>
      </c>
      <c r="AV18" s="153">
        <f t="shared" si="19"/>
        <v>34774.71683168312</v>
      </c>
      <c r="AW18" s="153">
        <f t="shared" si="20"/>
        <v>0</v>
      </c>
      <c r="AX18" s="153">
        <f t="shared" si="21"/>
        <v>9185.279999999979</v>
      </c>
      <c r="AY18" s="153">
        <f t="shared" si="22"/>
        <v>0</v>
      </c>
      <c r="AZ18" s="153">
        <v>140000</v>
      </c>
      <c r="BA18" s="151">
        <v>0</v>
      </c>
      <c r="BB18" s="151">
        <v>0</v>
      </c>
      <c r="BC18" s="153"/>
      <c r="BD18" s="153"/>
      <c r="BE18" s="153"/>
      <c r="BF18" s="153">
        <f t="shared" si="23"/>
        <v>742452.4800000001</v>
      </c>
      <c r="BG18" s="153">
        <f t="shared" si="24"/>
        <v>88956.66212580072</v>
      </c>
      <c r="BH18" s="153">
        <f t="shared" si="25"/>
        <v>140000</v>
      </c>
      <c r="BI18" s="153">
        <f t="shared" si="26"/>
        <v>34774.71683168312</v>
      </c>
      <c r="BJ18" s="154">
        <f t="shared" si="27"/>
        <v>971409.1421258008</v>
      </c>
      <c r="BK18" s="154">
        <v>971409.142125801</v>
      </c>
      <c r="BL18" s="154">
        <v>0</v>
      </c>
      <c r="BM18" s="154">
        <v>831409.1421258008</v>
      </c>
      <c r="BN18" s="154">
        <v>3849.1163987305595</v>
      </c>
      <c r="BO18" s="154">
        <v>3736.57522029703</v>
      </c>
      <c r="BP18" s="155">
        <v>0.03011880446624155</v>
      </c>
      <c r="BQ18" s="155">
        <v>0</v>
      </c>
      <c r="BR18" s="154">
        <v>0</v>
      </c>
      <c r="BS18" s="156">
        <f t="shared" si="28"/>
        <v>971409.1421258008</v>
      </c>
      <c r="BT18" s="153">
        <v>0</v>
      </c>
      <c r="BU18" s="153">
        <v>0</v>
      </c>
      <c r="BV18" s="157">
        <f t="shared" si="29"/>
        <v>971409.1421258008</v>
      </c>
      <c r="BW18" s="80"/>
      <c r="BX18" s="208"/>
      <c r="BY18" s="211"/>
      <c r="BZ18" s="103"/>
      <c r="CA18" s="103"/>
      <c r="CB18" s="127">
        <v>0</v>
      </c>
      <c r="CD18" s="200"/>
      <c r="CE18" s="123"/>
      <c r="CF18" s="123"/>
      <c r="CG18" s="123"/>
      <c r="CH18" s="123"/>
      <c r="CI18" s="123"/>
      <c r="CJ18" s="123"/>
      <c r="CK18" s="127"/>
      <c r="CL18" s="2"/>
    </row>
    <row r="19" spans="1:90" ht="14.25">
      <c r="A19" s="185">
        <v>3122023</v>
      </c>
      <c r="B19" s="188">
        <v>2023</v>
      </c>
      <c r="C19" s="102" t="s">
        <v>10</v>
      </c>
      <c r="D19" s="189">
        <v>282</v>
      </c>
      <c r="E19" s="189">
        <v>282</v>
      </c>
      <c r="F19" s="189">
        <v>0</v>
      </c>
      <c r="G19" s="189">
        <v>0</v>
      </c>
      <c r="H19" s="189">
        <v>0</v>
      </c>
      <c r="I19" s="189">
        <v>56.60215053763441</v>
      </c>
      <c r="J19" s="189">
        <v>0</v>
      </c>
      <c r="K19" s="189">
        <v>115.99999999999987</v>
      </c>
      <c r="L19" s="189">
        <v>44.99999999999989</v>
      </c>
      <c r="M19" s="189">
        <v>1.999999999999999</v>
      </c>
      <c r="N19" s="189">
        <v>0</v>
      </c>
      <c r="O19" s="189">
        <v>0</v>
      </c>
      <c r="P19" s="189">
        <v>0</v>
      </c>
      <c r="Q19" s="189">
        <v>0</v>
      </c>
      <c r="R19" s="189">
        <v>0</v>
      </c>
      <c r="S19" s="189">
        <v>0</v>
      </c>
      <c r="T19" s="189">
        <v>0</v>
      </c>
      <c r="U19" s="189">
        <v>0</v>
      </c>
      <c r="V19" s="189">
        <v>0</v>
      </c>
      <c r="W19" s="189">
        <v>21.999999999999993</v>
      </c>
      <c r="X19" s="189">
        <v>0</v>
      </c>
      <c r="Y19" s="189">
        <v>95.77358490566039</v>
      </c>
      <c r="Z19" s="189">
        <v>0</v>
      </c>
      <c r="AA19" s="189">
        <v>0</v>
      </c>
      <c r="AB19" s="189">
        <v>0</v>
      </c>
      <c r="AC19" s="152">
        <f t="shared" si="0"/>
        <v>969312.9600000001</v>
      </c>
      <c r="AD19" s="152">
        <f t="shared" si="1"/>
        <v>0</v>
      </c>
      <c r="AE19" s="152">
        <f t="shared" si="2"/>
        <v>0</v>
      </c>
      <c r="AF19" s="153">
        <f t="shared" si="3"/>
        <v>58364.74150537635</v>
      </c>
      <c r="AG19" s="153">
        <f t="shared" si="4"/>
        <v>0</v>
      </c>
      <c r="AH19" s="153">
        <f t="shared" si="5"/>
        <v>7818.399999999992</v>
      </c>
      <c r="AI19" s="153">
        <f t="shared" si="6"/>
        <v>6065.999999999986</v>
      </c>
      <c r="AJ19" s="153">
        <f t="shared" si="7"/>
        <v>404.4199999999998</v>
      </c>
      <c r="AK19" s="153">
        <f t="shared" si="8"/>
        <v>0</v>
      </c>
      <c r="AL19" s="153">
        <f t="shared" si="9"/>
        <v>0</v>
      </c>
      <c r="AM19" s="153">
        <f t="shared" si="10"/>
        <v>0</v>
      </c>
      <c r="AN19" s="153">
        <f t="shared" si="11"/>
        <v>0</v>
      </c>
      <c r="AO19" s="153">
        <f t="shared" si="12"/>
        <v>0</v>
      </c>
      <c r="AP19" s="153">
        <f t="shared" si="13"/>
        <v>0</v>
      </c>
      <c r="AQ19" s="153">
        <f t="shared" si="14"/>
        <v>0</v>
      </c>
      <c r="AR19" s="153">
        <f t="shared" si="15"/>
        <v>0</v>
      </c>
      <c r="AS19" s="153">
        <f t="shared" si="16"/>
        <v>0</v>
      </c>
      <c r="AT19" s="153">
        <f t="shared" si="17"/>
        <v>16910.079999999994</v>
      </c>
      <c r="AU19" s="153">
        <f t="shared" si="18"/>
        <v>0</v>
      </c>
      <c r="AV19" s="153">
        <f t="shared" si="19"/>
        <v>58766.67169811321</v>
      </c>
      <c r="AW19" s="153">
        <f t="shared" si="20"/>
        <v>0</v>
      </c>
      <c r="AX19" s="153">
        <f t="shared" si="21"/>
        <v>0</v>
      </c>
      <c r="AY19" s="153">
        <f t="shared" si="22"/>
        <v>0</v>
      </c>
      <c r="AZ19" s="153">
        <v>140000</v>
      </c>
      <c r="BA19" s="151">
        <v>46250</v>
      </c>
      <c r="BB19" s="151">
        <v>1947.04</v>
      </c>
      <c r="BC19" s="153"/>
      <c r="BD19" s="153"/>
      <c r="BE19" s="153"/>
      <c r="BF19" s="153">
        <f t="shared" si="23"/>
        <v>969312.9600000001</v>
      </c>
      <c r="BG19" s="153">
        <f t="shared" si="24"/>
        <v>148330.31320348952</v>
      </c>
      <c r="BH19" s="153">
        <f t="shared" si="25"/>
        <v>188197.04</v>
      </c>
      <c r="BI19" s="153">
        <f t="shared" si="26"/>
        <v>58766.67169811321</v>
      </c>
      <c r="BJ19" s="154">
        <f t="shared" si="27"/>
        <v>1305840.3132034896</v>
      </c>
      <c r="BK19" s="154">
        <v>1305840.3132034896</v>
      </c>
      <c r="BL19" s="154">
        <v>0</v>
      </c>
      <c r="BM19" s="154">
        <v>1117643.2732034896</v>
      </c>
      <c r="BN19" s="154">
        <v>3963.274018452091</v>
      </c>
      <c r="BO19" s="154">
        <v>3735.3862753571425</v>
      </c>
      <c r="BP19" s="155">
        <v>0.06100781185559178</v>
      </c>
      <c r="BQ19" s="155">
        <v>0</v>
      </c>
      <c r="BR19" s="154">
        <v>0</v>
      </c>
      <c r="BS19" s="156">
        <f t="shared" si="28"/>
        <v>1305840.3132034896</v>
      </c>
      <c r="BT19" s="153">
        <v>-617.58</v>
      </c>
      <c r="BU19" s="153">
        <v>-344.04</v>
      </c>
      <c r="BV19" s="157">
        <f t="shared" si="29"/>
        <v>1304878.6932034895</v>
      </c>
      <c r="BW19" s="80"/>
      <c r="BX19" s="208"/>
      <c r="BY19" s="211"/>
      <c r="BZ19" s="103"/>
      <c r="CA19" s="103"/>
      <c r="CB19" s="127">
        <v>56284</v>
      </c>
      <c r="CD19" s="200">
        <v>72630</v>
      </c>
      <c r="CE19" s="123">
        <v>620</v>
      </c>
      <c r="CF19" s="123">
        <v>4690</v>
      </c>
      <c r="CG19" s="123">
        <v>18807.5</v>
      </c>
      <c r="CH19" s="123"/>
      <c r="CI19" s="123">
        <v>7116</v>
      </c>
      <c r="CJ19" s="123"/>
      <c r="CK19" s="127"/>
      <c r="CL19" s="2"/>
    </row>
    <row r="20" spans="1:90" ht="14.25">
      <c r="A20" s="185">
        <v>3122024</v>
      </c>
      <c r="B20" s="188">
        <v>2024</v>
      </c>
      <c r="C20" s="102" t="s">
        <v>83</v>
      </c>
      <c r="D20" s="189">
        <v>213</v>
      </c>
      <c r="E20" s="189">
        <v>213</v>
      </c>
      <c r="F20" s="189">
        <v>0</v>
      </c>
      <c r="G20" s="189">
        <v>0</v>
      </c>
      <c r="H20" s="189">
        <v>0</v>
      </c>
      <c r="I20" s="189">
        <v>34.12135922330097</v>
      </c>
      <c r="J20" s="189">
        <v>0</v>
      </c>
      <c r="K20" s="189">
        <v>109.00000000000001</v>
      </c>
      <c r="L20" s="189">
        <v>44.00000000000007</v>
      </c>
      <c r="M20" s="189">
        <v>0</v>
      </c>
      <c r="N20" s="189">
        <v>0</v>
      </c>
      <c r="O20" s="189">
        <v>0</v>
      </c>
      <c r="P20" s="189">
        <v>0</v>
      </c>
      <c r="Q20" s="189">
        <v>0</v>
      </c>
      <c r="R20" s="189">
        <v>0</v>
      </c>
      <c r="S20" s="189">
        <v>0</v>
      </c>
      <c r="T20" s="189">
        <v>0</v>
      </c>
      <c r="U20" s="189">
        <v>0</v>
      </c>
      <c r="V20" s="189">
        <v>0</v>
      </c>
      <c r="W20" s="189">
        <v>29.32608695652177</v>
      </c>
      <c r="X20" s="189">
        <v>0</v>
      </c>
      <c r="Y20" s="189">
        <v>49.60273972602737</v>
      </c>
      <c r="Z20" s="189">
        <v>0</v>
      </c>
      <c r="AA20" s="189">
        <v>0</v>
      </c>
      <c r="AB20" s="189">
        <v>0</v>
      </c>
      <c r="AC20" s="152">
        <f t="shared" si="0"/>
        <v>732140.64</v>
      </c>
      <c r="AD20" s="152">
        <f t="shared" si="1"/>
        <v>0</v>
      </c>
      <c r="AE20" s="152">
        <f t="shared" si="2"/>
        <v>0</v>
      </c>
      <c r="AF20" s="153">
        <f t="shared" si="3"/>
        <v>35183.898349514566</v>
      </c>
      <c r="AG20" s="153">
        <f t="shared" si="4"/>
        <v>0</v>
      </c>
      <c r="AH20" s="153">
        <f t="shared" si="5"/>
        <v>7346.600000000001</v>
      </c>
      <c r="AI20" s="153">
        <f t="shared" si="6"/>
        <v>5931.20000000001</v>
      </c>
      <c r="AJ20" s="153">
        <f t="shared" si="7"/>
        <v>0</v>
      </c>
      <c r="AK20" s="153">
        <f t="shared" si="8"/>
        <v>0</v>
      </c>
      <c r="AL20" s="153">
        <f t="shared" si="9"/>
        <v>0</v>
      </c>
      <c r="AM20" s="153">
        <f t="shared" si="10"/>
        <v>0</v>
      </c>
      <c r="AN20" s="153">
        <f t="shared" si="11"/>
        <v>0</v>
      </c>
      <c r="AO20" s="153">
        <f t="shared" si="12"/>
        <v>0</v>
      </c>
      <c r="AP20" s="153">
        <f t="shared" si="13"/>
        <v>0</v>
      </c>
      <c r="AQ20" s="153">
        <f t="shared" si="14"/>
        <v>0</v>
      </c>
      <c r="AR20" s="153">
        <f t="shared" si="15"/>
        <v>0</v>
      </c>
      <c r="AS20" s="153">
        <f t="shared" si="16"/>
        <v>0</v>
      </c>
      <c r="AT20" s="153">
        <f t="shared" si="17"/>
        <v>22541.203478260893</v>
      </c>
      <c r="AU20" s="153">
        <f t="shared" si="18"/>
        <v>0</v>
      </c>
      <c r="AV20" s="153">
        <f t="shared" si="19"/>
        <v>30436.241095890397</v>
      </c>
      <c r="AW20" s="153">
        <f t="shared" si="20"/>
        <v>0</v>
      </c>
      <c r="AX20" s="153">
        <f t="shared" si="21"/>
        <v>0</v>
      </c>
      <c r="AY20" s="153">
        <f t="shared" si="22"/>
        <v>0</v>
      </c>
      <c r="AZ20" s="153">
        <v>140000</v>
      </c>
      <c r="BA20" s="151">
        <v>22200</v>
      </c>
      <c r="BB20" s="151">
        <v>-3190.68</v>
      </c>
      <c r="BC20" s="153"/>
      <c r="BD20" s="153"/>
      <c r="BE20" s="153"/>
      <c r="BF20" s="153">
        <f t="shared" si="23"/>
        <v>732140.64</v>
      </c>
      <c r="BG20" s="153">
        <f t="shared" si="24"/>
        <v>101439.14292366586</v>
      </c>
      <c r="BH20" s="153">
        <f t="shared" si="25"/>
        <v>159009.32</v>
      </c>
      <c r="BI20" s="153">
        <f t="shared" si="26"/>
        <v>30436.241095890397</v>
      </c>
      <c r="BJ20" s="154">
        <f t="shared" si="27"/>
        <v>992589.1029236659</v>
      </c>
      <c r="BK20" s="154">
        <v>992589.1029236659</v>
      </c>
      <c r="BL20" s="154">
        <v>0</v>
      </c>
      <c r="BM20" s="154">
        <v>833579.782923666</v>
      </c>
      <c r="BN20" s="154">
        <v>3913.520107622845</v>
      </c>
      <c r="BO20" s="154">
        <v>3716.3377965174127</v>
      </c>
      <c r="BP20" s="155">
        <v>0.05305823149074668</v>
      </c>
      <c r="BQ20" s="155">
        <v>0</v>
      </c>
      <c r="BR20" s="154">
        <v>0</v>
      </c>
      <c r="BS20" s="156">
        <f t="shared" si="28"/>
        <v>992589.1029236659</v>
      </c>
      <c r="BT20" s="153">
        <v>-466.46999999999997</v>
      </c>
      <c r="BU20" s="153">
        <v>-259.86</v>
      </c>
      <c r="BV20" s="157">
        <f t="shared" si="29"/>
        <v>991862.7729236659</v>
      </c>
      <c r="BW20" s="80"/>
      <c r="BX20" s="208" t="e">
        <f>VLOOKUP(B20,#REF!,22,0)</f>
        <v>#REF!</v>
      </c>
      <c r="BY20" s="211" t="e">
        <f>VLOOKUP(B20,#REF!,11,0)</f>
        <v>#REF!</v>
      </c>
      <c r="BZ20" s="103"/>
      <c r="CA20" s="103"/>
      <c r="CB20" s="127">
        <v>23542</v>
      </c>
      <c r="CD20" s="200">
        <v>44385</v>
      </c>
      <c r="CE20" s="123">
        <v>310</v>
      </c>
      <c r="CF20" s="123"/>
      <c r="CG20" s="123">
        <v>17825.833333333332</v>
      </c>
      <c r="CH20" s="123">
        <v>62928</v>
      </c>
      <c r="CI20" s="123">
        <v>6945</v>
      </c>
      <c r="CJ20" s="123"/>
      <c r="CK20" s="127"/>
      <c r="CL20" s="2"/>
    </row>
    <row r="21" spans="1:90" ht="14.25">
      <c r="A21" s="185">
        <v>3122025</v>
      </c>
      <c r="B21" s="188">
        <v>2025</v>
      </c>
      <c r="C21" s="102" t="s">
        <v>84</v>
      </c>
      <c r="D21" s="189">
        <v>505</v>
      </c>
      <c r="E21" s="189">
        <v>505</v>
      </c>
      <c r="F21" s="189">
        <v>0</v>
      </c>
      <c r="G21" s="189">
        <v>0</v>
      </c>
      <c r="H21" s="189">
        <v>0</v>
      </c>
      <c r="I21" s="189">
        <v>67.06237424547284</v>
      </c>
      <c r="J21" s="189">
        <v>0</v>
      </c>
      <c r="K21" s="189">
        <v>21.041666666666682</v>
      </c>
      <c r="L21" s="189">
        <v>62.12301587301586</v>
      </c>
      <c r="M21" s="189">
        <v>2.003968253968255</v>
      </c>
      <c r="N21" s="189">
        <v>2.003968253968255</v>
      </c>
      <c r="O21" s="189">
        <v>1.001984126984125</v>
      </c>
      <c r="P21" s="189">
        <v>0</v>
      </c>
      <c r="Q21" s="189">
        <v>0</v>
      </c>
      <c r="R21" s="189">
        <v>0</v>
      </c>
      <c r="S21" s="189">
        <v>0</v>
      </c>
      <c r="T21" s="189">
        <v>0</v>
      </c>
      <c r="U21" s="189">
        <v>0</v>
      </c>
      <c r="V21" s="189">
        <v>0</v>
      </c>
      <c r="W21" s="189">
        <v>117.7578475336322</v>
      </c>
      <c r="X21" s="189">
        <v>0</v>
      </c>
      <c r="Y21" s="189">
        <v>183.9824120603015</v>
      </c>
      <c r="Z21" s="189">
        <v>0</v>
      </c>
      <c r="AA21" s="189">
        <v>18.69999999999999</v>
      </c>
      <c r="AB21" s="189">
        <v>0</v>
      </c>
      <c r="AC21" s="152">
        <f t="shared" si="0"/>
        <v>1735826.4000000001</v>
      </c>
      <c r="AD21" s="152">
        <f t="shared" si="1"/>
        <v>0</v>
      </c>
      <c r="AE21" s="152">
        <f t="shared" si="2"/>
        <v>0</v>
      </c>
      <c r="AF21" s="153">
        <f t="shared" si="3"/>
        <v>69150.69657947688</v>
      </c>
      <c r="AG21" s="153">
        <f t="shared" si="4"/>
        <v>0</v>
      </c>
      <c r="AH21" s="153">
        <f t="shared" si="5"/>
        <v>1418.2083333333344</v>
      </c>
      <c r="AI21" s="153">
        <f t="shared" si="6"/>
        <v>8374.182539682539</v>
      </c>
      <c r="AJ21" s="153">
        <f t="shared" si="7"/>
        <v>405.2224206349208</v>
      </c>
      <c r="AK21" s="153">
        <f t="shared" si="8"/>
        <v>540.2898809523812</v>
      </c>
      <c r="AL21" s="153">
        <f t="shared" si="9"/>
        <v>337.67867063491997</v>
      </c>
      <c r="AM21" s="153">
        <f t="shared" si="10"/>
        <v>0</v>
      </c>
      <c r="AN21" s="153">
        <f t="shared" si="11"/>
        <v>0</v>
      </c>
      <c r="AO21" s="153">
        <f t="shared" si="12"/>
        <v>0</v>
      </c>
      <c r="AP21" s="153">
        <f t="shared" si="13"/>
        <v>0</v>
      </c>
      <c r="AQ21" s="153">
        <f t="shared" si="14"/>
        <v>0</v>
      </c>
      <c r="AR21" s="153">
        <f t="shared" si="15"/>
        <v>0</v>
      </c>
      <c r="AS21" s="153">
        <f t="shared" si="16"/>
        <v>0</v>
      </c>
      <c r="AT21" s="153">
        <f t="shared" si="17"/>
        <v>90513.39192825105</v>
      </c>
      <c r="AU21" s="153">
        <f t="shared" si="18"/>
        <v>0</v>
      </c>
      <c r="AV21" s="153">
        <f t="shared" si="19"/>
        <v>112891.608040201</v>
      </c>
      <c r="AW21" s="153">
        <f t="shared" si="20"/>
        <v>0</v>
      </c>
      <c r="AX21" s="153">
        <f t="shared" si="21"/>
        <v>15558.39999999999</v>
      </c>
      <c r="AY21" s="153">
        <f t="shared" si="22"/>
        <v>0</v>
      </c>
      <c r="AZ21" s="153">
        <v>140000</v>
      </c>
      <c r="BA21" s="151">
        <v>63500</v>
      </c>
      <c r="BB21" s="151">
        <v>3835.29</v>
      </c>
      <c r="BC21" s="153"/>
      <c r="BD21" s="153"/>
      <c r="BE21" s="153"/>
      <c r="BF21" s="153">
        <f t="shared" si="23"/>
        <v>1735826.4000000001</v>
      </c>
      <c r="BG21" s="153">
        <f t="shared" si="24"/>
        <v>299189.678393167</v>
      </c>
      <c r="BH21" s="153">
        <f t="shared" si="25"/>
        <v>207335.29</v>
      </c>
      <c r="BI21" s="153">
        <f t="shared" si="26"/>
        <v>112891.608040201</v>
      </c>
      <c r="BJ21" s="154">
        <f t="shared" si="27"/>
        <v>2242351.368393167</v>
      </c>
      <c r="BK21" s="154">
        <v>2242351.368393167</v>
      </c>
      <c r="BL21" s="154">
        <v>0</v>
      </c>
      <c r="BM21" s="154">
        <v>2035016.078393167</v>
      </c>
      <c r="BN21" s="154">
        <v>4029.73480869934</v>
      </c>
      <c r="BO21" s="154">
        <v>3763.124291935484</v>
      </c>
      <c r="BP21" s="155">
        <v>0.07084818254215319</v>
      </c>
      <c r="BQ21" s="155">
        <v>0</v>
      </c>
      <c r="BR21" s="154">
        <v>0</v>
      </c>
      <c r="BS21" s="156">
        <f t="shared" si="28"/>
        <v>2242351.368393167</v>
      </c>
      <c r="BT21" s="153">
        <v>-1105.95</v>
      </c>
      <c r="BU21" s="153">
        <v>-616.1</v>
      </c>
      <c r="BV21" s="157">
        <f t="shared" si="29"/>
        <v>2240629.3183931666</v>
      </c>
      <c r="BW21" s="80"/>
      <c r="BX21" s="208" t="e">
        <f>VLOOKUP(B21,#REF!,22,0)</f>
        <v>#REF!</v>
      </c>
      <c r="BY21" s="211"/>
      <c r="BZ21" s="103"/>
      <c r="CA21" s="103"/>
      <c r="CB21" s="127">
        <v>86042</v>
      </c>
      <c r="CD21" s="200">
        <v>88770</v>
      </c>
      <c r="CE21" s="123">
        <v>3410</v>
      </c>
      <c r="CF21" s="123">
        <v>4690</v>
      </c>
      <c r="CG21" s="123">
        <v>20775</v>
      </c>
      <c r="CH21" s="123">
        <v>59214</v>
      </c>
      <c r="CI21" s="123">
        <v>9958</v>
      </c>
      <c r="CJ21" s="123"/>
      <c r="CK21" s="127"/>
      <c r="CL21" s="2"/>
    </row>
    <row r="22" spans="1:90" ht="14.25">
      <c r="A22" s="185">
        <v>3122026</v>
      </c>
      <c r="B22" s="188">
        <v>2026</v>
      </c>
      <c r="C22" s="102" t="s">
        <v>85</v>
      </c>
      <c r="D22" s="189">
        <v>193</v>
      </c>
      <c r="E22" s="189">
        <v>193</v>
      </c>
      <c r="F22" s="189">
        <v>0</v>
      </c>
      <c r="G22" s="189">
        <v>0</v>
      </c>
      <c r="H22" s="189">
        <v>0</v>
      </c>
      <c r="I22" s="189">
        <v>45.76288659793814</v>
      </c>
      <c r="J22" s="189">
        <v>0</v>
      </c>
      <c r="K22" s="189">
        <v>13.999999999999991</v>
      </c>
      <c r="L22" s="189">
        <v>88.00000000000001</v>
      </c>
      <c r="M22" s="189">
        <v>4.000000000000006</v>
      </c>
      <c r="N22" s="189">
        <v>31.999999999999968</v>
      </c>
      <c r="O22" s="189">
        <v>11.999999999999998</v>
      </c>
      <c r="P22" s="189">
        <v>0</v>
      </c>
      <c r="Q22" s="189">
        <v>0</v>
      </c>
      <c r="R22" s="189">
        <v>0</v>
      </c>
      <c r="S22" s="189">
        <v>0</v>
      </c>
      <c r="T22" s="189">
        <v>0</v>
      </c>
      <c r="U22" s="189">
        <v>0</v>
      </c>
      <c r="V22" s="189">
        <v>0</v>
      </c>
      <c r="W22" s="189">
        <v>45.952380952380935</v>
      </c>
      <c r="X22" s="189">
        <v>0</v>
      </c>
      <c r="Y22" s="189">
        <v>54.08917197452236</v>
      </c>
      <c r="Z22" s="189">
        <v>0</v>
      </c>
      <c r="AA22" s="189">
        <v>0.4199999999999989</v>
      </c>
      <c r="AB22" s="189">
        <v>0</v>
      </c>
      <c r="AC22" s="152">
        <f t="shared" si="0"/>
        <v>663395.04</v>
      </c>
      <c r="AD22" s="152">
        <f t="shared" si="1"/>
        <v>0</v>
      </c>
      <c r="AE22" s="152">
        <f t="shared" si="2"/>
        <v>0</v>
      </c>
      <c r="AF22" s="153">
        <f t="shared" si="3"/>
        <v>47187.94288659794</v>
      </c>
      <c r="AG22" s="153">
        <f t="shared" si="4"/>
        <v>0</v>
      </c>
      <c r="AH22" s="153">
        <f t="shared" si="5"/>
        <v>943.5999999999995</v>
      </c>
      <c r="AI22" s="153">
        <f t="shared" si="6"/>
        <v>11862.400000000003</v>
      </c>
      <c r="AJ22" s="153">
        <f t="shared" si="7"/>
        <v>808.8400000000013</v>
      </c>
      <c r="AK22" s="153">
        <f t="shared" si="8"/>
        <v>8627.519999999991</v>
      </c>
      <c r="AL22" s="153">
        <f t="shared" si="9"/>
        <v>4044.1199999999994</v>
      </c>
      <c r="AM22" s="153">
        <f t="shared" si="10"/>
        <v>0</v>
      </c>
      <c r="AN22" s="153">
        <f t="shared" si="11"/>
        <v>0</v>
      </c>
      <c r="AO22" s="153">
        <f t="shared" si="12"/>
        <v>0</v>
      </c>
      <c r="AP22" s="153">
        <f t="shared" si="13"/>
        <v>0</v>
      </c>
      <c r="AQ22" s="153">
        <f t="shared" si="14"/>
        <v>0</v>
      </c>
      <c r="AR22" s="153">
        <f t="shared" si="15"/>
        <v>0</v>
      </c>
      <c r="AS22" s="153">
        <f t="shared" si="16"/>
        <v>0</v>
      </c>
      <c r="AT22" s="153">
        <f t="shared" si="17"/>
        <v>35320.83809523808</v>
      </c>
      <c r="AU22" s="153">
        <f t="shared" si="18"/>
        <v>0</v>
      </c>
      <c r="AV22" s="153">
        <f t="shared" si="19"/>
        <v>33189.11592356692</v>
      </c>
      <c r="AW22" s="153">
        <f t="shared" si="20"/>
        <v>0</v>
      </c>
      <c r="AX22" s="153">
        <f t="shared" si="21"/>
        <v>349.4399999999991</v>
      </c>
      <c r="AY22" s="153">
        <f t="shared" si="22"/>
        <v>0</v>
      </c>
      <c r="AZ22" s="153">
        <v>140000</v>
      </c>
      <c r="BA22" s="151">
        <v>16320</v>
      </c>
      <c r="BB22" s="151">
        <v>147.45</v>
      </c>
      <c r="BC22" s="153"/>
      <c r="BD22" s="153"/>
      <c r="BE22" s="153"/>
      <c r="BF22" s="153">
        <f t="shared" si="23"/>
        <v>663395.04</v>
      </c>
      <c r="BG22" s="153">
        <f t="shared" si="24"/>
        <v>142333.81690540293</v>
      </c>
      <c r="BH22" s="153">
        <f t="shared" si="25"/>
        <v>156467.45</v>
      </c>
      <c r="BI22" s="153">
        <f t="shared" si="26"/>
        <v>33189.11592356692</v>
      </c>
      <c r="BJ22" s="154">
        <f t="shared" si="27"/>
        <v>962196.306905403</v>
      </c>
      <c r="BK22" s="154">
        <v>962196.3069054028</v>
      </c>
      <c r="BL22" s="154">
        <v>0</v>
      </c>
      <c r="BM22" s="154">
        <v>805728.8569054031</v>
      </c>
      <c r="BN22" s="154">
        <v>4174.760916608306</v>
      </c>
      <c r="BO22" s="154">
        <v>3863.6115791666666</v>
      </c>
      <c r="BP22" s="155">
        <v>0.08053328629601793</v>
      </c>
      <c r="BQ22" s="155">
        <v>0</v>
      </c>
      <c r="BR22" s="154">
        <v>0</v>
      </c>
      <c r="BS22" s="156">
        <f t="shared" si="28"/>
        <v>962196.306905403</v>
      </c>
      <c r="BT22" s="153">
        <v>-422.67</v>
      </c>
      <c r="BU22" s="153">
        <v>-235.46</v>
      </c>
      <c r="BV22" s="157">
        <f t="shared" si="29"/>
        <v>961538.176905403</v>
      </c>
      <c r="BW22" s="80"/>
      <c r="BX22" s="208" t="e">
        <f>VLOOKUP(B22,#REF!,22,0)</f>
        <v>#REF!</v>
      </c>
      <c r="BY22" s="211"/>
      <c r="BZ22" s="103"/>
      <c r="CA22" s="103"/>
      <c r="CB22" s="127">
        <v>52042</v>
      </c>
      <c r="CD22" s="200">
        <v>59180</v>
      </c>
      <c r="CE22" s="123"/>
      <c r="CF22" s="123"/>
      <c r="CG22" s="123">
        <v>17838.333333333336</v>
      </c>
      <c r="CH22" s="123">
        <v>24691</v>
      </c>
      <c r="CI22" s="123">
        <v>6318</v>
      </c>
      <c r="CJ22" s="123"/>
      <c r="CK22" s="127"/>
      <c r="CL22" s="2"/>
    </row>
    <row r="23" spans="1:90" ht="14.25">
      <c r="A23" s="185">
        <v>3122027</v>
      </c>
      <c r="B23" s="188">
        <v>2027</v>
      </c>
      <c r="C23" s="102" t="s">
        <v>131</v>
      </c>
      <c r="D23" s="189">
        <v>545.5</v>
      </c>
      <c r="E23" s="189">
        <v>545.5</v>
      </c>
      <c r="F23" s="189">
        <v>0</v>
      </c>
      <c r="G23" s="189">
        <v>0</v>
      </c>
      <c r="H23" s="189">
        <v>0</v>
      </c>
      <c r="I23" s="189">
        <v>32.088235294117645</v>
      </c>
      <c r="J23" s="189">
        <v>0</v>
      </c>
      <c r="K23" s="189">
        <v>141.6308316430021</v>
      </c>
      <c r="L23" s="189">
        <v>215.76572008113612</v>
      </c>
      <c r="M23" s="189">
        <v>34.301217038539534</v>
      </c>
      <c r="N23" s="189">
        <v>13.277890466531467</v>
      </c>
      <c r="O23" s="189">
        <v>0</v>
      </c>
      <c r="P23" s="189">
        <v>0</v>
      </c>
      <c r="Q23" s="189">
        <v>0</v>
      </c>
      <c r="R23" s="189">
        <v>0</v>
      </c>
      <c r="S23" s="189">
        <v>0</v>
      </c>
      <c r="T23" s="189">
        <v>0</v>
      </c>
      <c r="U23" s="189">
        <v>0</v>
      </c>
      <c r="V23" s="189">
        <v>0</v>
      </c>
      <c r="W23" s="189">
        <v>73.27611940298495</v>
      </c>
      <c r="X23" s="189">
        <v>0</v>
      </c>
      <c r="Y23" s="189">
        <v>132.72860962566824</v>
      </c>
      <c r="Z23" s="189">
        <v>0</v>
      </c>
      <c r="AA23" s="189">
        <v>4.890689655172407</v>
      </c>
      <c r="AB23" s="189">
        <v>0</v>
      </c>
      <c r="AC23" s="152">
        <f t="shared" si="0"/>
        <v>1875036.2400000002</v>
      </c>
      <c r="AD23" s="152">
        <f t="shared" si="1"/>
        <v>0</v>
      </c>
      <c r="AE23" s="152">
        <f t="shared" si="2"/>
        <v>0</v>
      </c>
      <c r="AF23" s="153">
        <f t="shared" si="3"/>
        <v>33087.46294117647</v>
      </c>
      <c r="AG23" s="153">
        <f t="shared" si="4"/>
        <v>0</v>
      </c>
      <c r="AH23" s="153">
        <f t="shared" si="5"/>
        <v>9545.918052738341</v>
      </c>
      <c r="AI23" s="153">
        <f t="shared" si="6"/>
        <v>29085.219066937152</v>
      </c>
      <c r="AJ23" s="153">
        <f t="shared" si="7"/>
        <v>6936.049097363079</v>
      </c>
      <c r="AK23" s="153">
        <f t="shared" si="8"/>
        <v>3579.852048681549</v>
      </c>
      <c r="AL23" s="153">
        <f t="shared" si="9"/>
        <v>0</v>
      </c>
      <c r="AM23" s="153">
        <f t="shared" si="10"/>
        <v>0</v>
      </c>
      <c r="AN23" s="153">
        <f t="shared" si="11"/>
        <v>0</v>
      </c>
      <c r="AO23" s="153">
        <f t="shared" si="12"/>
        <v>0</v>
      </c>
      <c r="AP23" s="153">
        <f t="shared" si="13"/>
        <v>0</v>
      </c>
      <c r="AQ23" s="153">
        <f t="shared" si="14"/>
        <v>0</v>
      </c>
      <c r="AR23" s="153">
        <f t="shared" si="15"/>
        <v>0</v>
      </c>
      <c r="AS23" s="153">
        <f t="shared" si="16"/>
        <v>0</v>
      </c>
      <c r="AT23" s="153">
        <f t="shared" si="17"/>
        <v>56322.95641791035</v>
      </c>
      <c r="AU23" s="153">
        <f t="shared" si="18"/>
        <v>0</v>
      </c>
      <c r="AV23" s="153">
        <f t="shared" si="19"/>
        <v>81442.27486631004</v>
      </c>
      <c r="AW23" s="153">
        <f t="shared" si="20"/>
        <v>0</v>
      </c>
      <c r="AX23" s="153">
        <f t="shared" si="21"/>
        <v>4069.053793103443</v>
      </c>
      <c r="AY23" s="153">
        <f t="shared" si="22"/>
        <v>0</v>
      </c>
      <c r="AZ23" s="153">
        <v>140000</v>
      </c>
      <c r="BA23" s="151">
        <v>20300</v>
      </c>
      <c r="BB23" s="151">
        <v>3431.39</v>
      </c>
      <c r="BC23" s="153"/>
      <c r="BD23" s="153"/>
      <c r="BE23" s="153">
        <v>30739.16</v>
      </c>
      <c r="BF23" s="153">
        <f t="shared" si="23"/>
        <v>1875036.2400000002</v>
      </c>
      <c r="BG23" s="153">
        <f t="shared" si="24"/>
        <v>224068.78628422043</v>
      </c>
      <c r="BH23" s="153">
        <f t="shared" si="25"/>
        <v>194470.55000000002</v>
      </c>
      <c r="BI23" s="153">
        <f t="shared" si="26"/>
        <v>81442.27486631004</v>
      </c>
      <c r="BJ23" s="154">
        <f t="shared" si="27"/>
        <v>2293575.5762842204</v>
      </c>
      <c r="BK23" s="154">
        <v>2293575.5762842204</v>
      </c>
      <c r="BL23" s="154">
        <v>0</v>
      </c>
      <c r="BM23" s="154">
        <v>2129844.186284221</v>
      </c>
      <c r="BN23" s="154">
        <v>3904.3889757730904</v>
      </c>
      <c r="BO23" s="154">
        <v>3884.6648545310713</v>
      </c>
      <c r="BP23" s="155">
        <v>0.005077431897120495</v>
      </c>
      <c r="BQ23" s="155">
        <v>0</v>
      </c>
      <c r="BR23" s="154">
        <v>0</v>
      </c>
      <c r="BS23" s="156">
        <f t="shared" si="28"/>
        <v>2293575.5762842204</v>
      </c>
      <c r="BT23" s="153">
        <v>0</v>
      </c>
      <c r="BU23" s="153">
        <v>0</v>
      </c>
      <c r="BV23" s="157">
        <f t="shared" si="29"/>
        <v>2293575.5762842204</v>
      </c>
      <c r="BW23" s="80"/>
      <c r="BX23" s="208" t="e">
        <f>VLOOKUP(B23,#REF!,22,0)</f>
        <v>#REF!</v>
      </c>
      <c r="BY23" s="211"/>
      <c r="BZ23" s="103"/>
      <c r="CA23" s="103"/>
      <c r="CB23" s="127">
        <v>156750</v>
      </c>
      <c r="CD23" s="200"/>
      <c r="CE23" s="123"/>
      <c r="CF23" s="123"/>
      <c r="CG23" s="123"/>
      <c r="CH23" s="123"/>
      <c r="CI23" s="123"/>
      <c r="CJ23" s="123"/>
      <c r="CK23" s="127"/>
      <c r="CL23" s="2"/>
    </row>
    <row r="24" spans="1:90" ht="14.25">
      <c r="A24" s="185">
        <v>3122028</v>
      </c>
      <c r="B24" s="188">
        <v>2028</v>
      </c>
      <c r="C24" s="122" t="s">
        <v>132</v>
      </c>
      <c r="D24" s="189">
        <v>591.5</v>
      </c>
      <c r="E24" s="189">
        <v>591.5</v>
      </c>
      <c r="F24" s="189">
        <v>0</v>
      </c>
      <c r="G24" s="189">
        <v>0</v>
      </c>
      <c r="H24" s="189">
        <v>0</v>
      </c>
      <c r="I24" s="189">
        <v>131.1529933481153</v>
      </c>
      <c r="J24" s="189">
        <v>0</v>
      </c>
      <c r="K24" s="189">
        <v>208.50649350649357</v>
      </c>
      <c r="L24" s="189">
        <v>85.5974025974025</v>
      </c>
      <c r="M24" s="189">
        <v>254.59740259740266</v>
      </c>
      <c r="N24" s="189">
        <v>6.5844155844155825</v>
      </c>
      <c r="O24" s="189">
        <v>0</v>
      </c>
      <c r="P24" s="189">
        <v>0</v>
      </c>
      <c r="Q24" s="189">
        <v>0</v>
      </c>
      <c r="R24" s="189">
        <v>0</v>
      </c>
      <c r="S24" s="189">
        <v>0</v>
      </c>
      <c r="T24" s="189">
        <v>0</v>
      </c>
      <c r="U24" s="189">
        <v>0</v>
      </c>
      <c r="V24" s="189">
        <v>0</v>
      </c>
      <c r="W24" s="189">
        <v>245.57812499999974</v>
      </c>
      <c r="X24" s="189">
        <v>0</v>
      </c>
      <c r="Y24" s="189">
        <v>182.21563981042672</v>
      </c>
      <c r="Z24" s="189">
        <v>0</v>
      </c>
      <c r="AA24" s="189">
        <v>14.990519480519508</v>
      </c>
      <c r="AB24" s="189">
        <v>0</v>
      </c>
      <c r="AC24" s="152">
        <f t="shared" si="0"/>
        <v>2033151.12</v>
      </c>
      <c r="AD24" s="152">
        <f t="shared" si="1"/>
        <v>0</v>
      </c>
      <c r="AE24" s="152">
        <f t="shared" si="2"/>
        <v>0</v>
      </c>
      <c r="AF24" s="153">
        <f t="shared" si="3"/>
        <v>135237.0975609756</v>
      </c>
      <c r="AG24" s="153">
        <f t="shared" si="4"/>
        <v>0</v>
      </c>
      <c r="AH24" s="153">
        <f t="shared" si="5"/>
        <v>14053.337662337668</v>
      </c>
      <c r="AI24" s="153">
        <f t="shared" si="6"/>
        <v>11538.52987012986</v>
      </c>
      <c r="AJ24" s="153">
        <f t="shared" si="7"/>
        <v>51482.1407792208</v>
      </c>
      <c r="AK24" s="153">
        <f t="shared" si="8"/>
        <v>1775.2242857142853</v>
      </c>
      <c r="AL24" s="153">
        <f t="shared" si="9"/>
        <v>0</v>
      </c>
      <c r="AM24" s="153">
        <f t="shared" si="10"/>
        <v>0</v>
      </c>
      <c r="AN24" s="153">
        <f t="shared" si="11"/>
        <v>0</v>
      </c>
      <c r="AO24" s="153">
        <f t="shared" si="12"/>
        <v>0</v>
      </c>
      <c r="AP24" s="153">
        <f t="shared" si="13"/>
        <v>0</v>
      </c>
      <c r="AQ24" s="153">
        <f t="shared" si="14"/>
        <v>0</v>
      </c>
      <c r="AR24" s="153">
        <f t="shared" si="15"/>
        <v>0</v>
      </c>
      <c r="AS24" s="153">
        <f t="shared" si="16"/>
        <v>0</v>
      </c>
      <c r="AT24" s="153">
        <f t="shared" si="17"/>
        <v>188761.1699999998</v>
      </c>
      <c r="AU24" s="153">
        <f t="shared" si="18"/>
        <v>0</v>
      </c>
      <c r="AV24" s="153">
        <f t="shared" si="19"/>
        <v>111807.51658767785</v>
      </c>
      <c r="AW24" s="153">
        <f t="shared" si="20"/>
        <v>0</v>
      </c>
      <c r="AX24" s="153">
        <f t="shared" si="21"/>
        <v>12472.11220779223</v>
      </c>
      <c r="AY24" s="153">
        <f t="shared" si="22"/>
        <v>0</v>
      </c>
      <c r="AZ24" s="153">
        <v>140000</v>
      </c>
      <c r="BA24" s="151">
        <v>16900</v>
      </c>
      <c r="BB24" s="151">
        <v>3740.87</v>
      </c>
      <c r="BC24" s="153"/>
      <c r="BD24" s="153"/>
      <c r="BE24" s="153">
        <v>2385</v>
      </c>
      <c r="BF24" s="153">
        <f t="shared" si="23"/>
        <v>2033151.12</v>
      </c>
      <c r="BG24" s="153">
        <f t="shared" si="24"/>
        <v>527127.1289538482</v>
      </c>
      <c r="BH24" s="153">
        <f t="shared" si="25"/>
        <v>163025.87</v>
      </c>
      <c r="BI24" s="153">
        <f t="shared" si="26"/>
        <v>111807.51658767785</v>
      </c>
      <c r="BJ24" s="154">
        <f t="shared" si="27"/>
        <v>2723304.1189538483</v>
      </c>
      <c r="BK24" s="154">
        <v>2723304.1189538487</v>
      </c>
      <c r="BL24" s="154">
        <v>0</v>
      </c>
      <c r="BM24" s="154">
        <v>2562663.248953848</v>
      </c>
      <c r="BN24" s="154">
        <v>4332.482246752068</v>
      </c>
      <c r="BO24" s="154">
        <v>4082.710787299434</v>
      </c>
      <c r="BP24" s="155">
        <v>0.061177847872454616</v>
      </c>
      <c r="BQ24" s="155">
        <v>0</v>
      </c>
      <c r="BR24" s="154">
        <v>0</v>
      </c>
      <c r="BS24" s="156">
        <f t="shared" si="28"/>
        <v>2723304.1189538483</v>
      </c>
      <c r="BT24" s="153">
        <v>0</v>
      </c>
      <c r="BU24" s="153">
        <v>0</v>
      </c>
      <c r="BV24" s="157">
        <f t="shared" si="29"/>
        <v>2723304.1189538483</v>
      </c>
      <c r="BW24" s="80"/>
      <c r="BX24" s="208" t="e">
        <f>VLOOKUP(B24,#REF!,22,0)</f>
        <v>#REF!</v>
      </c>
      <c r="BY24" s="211"/>
      <c r="BZ24" s="103"/>
      <c r="CA24" s="103"/>
      <c r="CB24" s="127">
        <v>225800</v>
      </c>
      <c r="CD24" s="200"/>
      <c r="CE24" s="123"/>
      <c r="CF24" s="123"/>
      <c r="CG24" s="123"/>
      <c r="CH24" s="123"/>
      <c r="CI24" s="123"/>
      <c r="CJ24" s="123"/>
      <c r="CK24" s="127"/>
      <c r="CL24" s="2"/>
    </row>
    <row r="25" spans="1:90" ht="14.25">
      <c r="A25" s="185">
        <v>3122029</v>
      </c>
      <c r="B25" s="188">
        <v>2029</v>
      </c>
      <c r="C25" s="102" t="s">
        <v>86</v>
      </c>
      <c r="D25" s="189">
        <v>385</v>
      </c>
      <c r="E25" s="189">
        <v>385</v>
      </c>
      <c r="F25" s="189">
        <v>0</v>
      </c>
      <c r="G25" s="189">
        <v>0</v>
      </c>
      <c r="H25" s="189">
        <v>0</v>
      </c>
      <c r="I25" s="189">
        <v>61.943069306930695</v>
      </c>
      <c r="J25" s="189">
        <v>0</v>
      </c>
      <c r="K25" s="189">
        <v>32.08333333333332</v>
      </c>
      <c r="L25" s="189">
        <v>67.17447916666679</v>
      </c>
      <c r="M25" s="189">
        <v>29.07552083333332</v>
      </c>
      <c r="N25" s="189">
        <v>56.14583333333321</v>
      </c>
      <c r="O25" s="189">
        <v>0</v>
      </c>
      <c r="P25" s="189">
        <v>0</v>
      </c>
      <c r="Q25" s="189">
        <v>0</v>
      </c>
      <c r="R25" s="189">
        <v>0</v>
      </c>
      <c r="S25" s="189">
        <v>0</v>
      </c>
      <c r="T25" s="189">
        <v>0</v>
      </c>
      <c r="U25" s="189">
        <v>0</v>
      </c>
      <c r="V25" s="189">
        <v>0</v>
      </c>
      <c r="W25" s="189">
        <v>94.18960244648301</v>
      </c>
      <c r="X25" s="189">
        <v>0</v>
      </c>
      <c r="Y25" s="189">
        <v>87.61217948717967</v>
      </c>
      <c r="Z25" s="189">
        <v>0</v>
      </c>
      <c r="AA25" s="189">
        <v>2.899999999999988</v>
      </c>
      <c r="AB25" s="189">
        <v>0</v>
      </c>
      <c r="AC25" s="152">
        <f t="shared" si="0"/>
        <v>1323352.8</v>
      </c>
      <c r="AD25" s="152">
        <f t="shared" si="1"/>
        <v>0</v>
      </c>
      <c r="AE25" s="152">
        <f t="shared" si="2"/>
        <v>0</v>
      </c>
      <c r="AF25" s="153">
        <f t="shared" si="3"/>
        <v>63871.97648514852</v>
      </c>
      <c r="AG25" s="153">
        <f t="shared" si="4"/>
        <v>0</v>
      </c>
      <c r="AH25" s="153">
        <f t="shared" si="5"/>
        <v>2162.416666666666</v>
      </c>
      <c r="AI25" s="153">
        <f t="shared" si="6"/>
        <v>9055.119791666684</v>
      </c>
      <c r="AJ25" s="153">
        <f t="shared" si="7"/>
        <v>5879.361067708332</v>
      </c>
      <c r="AK25" s="153">
        <f t="shared" si="8"/>
        <v>15137.478124999967</v>
      </c>
      <c r="AL25" s="153">
        <f t="shared" si="9"/>
        <v>0</v>
      </c>
      <c r="AM25" s="153">
        <f t="shared" si="10"/>
        <v>0</v>
      </c>
      <c r="AN25" s="153">
        <f t="shared" si="11"/>
        <v>0</v>
      </c>
      <c r="AO25" s="153">
        <f t="shared" si="12"/>
        <v>0</v>
      </c>
      <c r="AP25" s="153">
        <f t="shared" si="13"/>
        <v>0</v>
      </c>
      <c r="AQ25" s="153">
        <f t="shared" si="14"/>
        <v>0</v>
      </c>
      <c r="AR25" s="153">
        <f t="shared" si="15"/>
        <v>0</v>
      </c>
      <c r="AS25" s="153">
        <f t="shared" si="16"/>
        <v>0</v>
      </c>
      <c r="AT25" s="153">
        <f t="shared" si="17"/>
        <v>72397.8960244647</v>
      </c>
      <c r="AU25" s="153">
        <f t="shared" si="18"/>
        <v>0</v>
      </c>
      <c r="AV25" s="153">
        <f t="shared" si="19"/>
        <v>53758.83333333345</v>
      </c>
      <c r="AW25" s="153">
        <f t="shared" si="20"/>
        <v>0</v>
      </c>
      <c r="AX25" s="153">
        <f t="shared" si="21"/>
        <v>2412.79999999999</v>
      </c>
      <c r="AY25" s="153">
        <f t="shared" si="22"/>
        <v>0</v>
      </c>
      <c r="AZ25" s="153">
        <v>140000</v>
      </c>
      <c r="BA25" s="151">
        <v>48500</v>
      </c>
      <c r="BB25" s="151">
        <v>2328</v>
      </c>
      <c r="BC25" s="153"/>
      <c r="BD25" s="153"/>
      <c r="BE25" s="153"/>
      <c r="BF25" s="153">
        <f t="shared" si="23"/>
        <v>1323352.8</v>
      </c>
      <c r="BG25" s="153">
        <f t="shared" si="24"/>
        <v>224675.88149398833</v>
      </c>
      <c r="BH25" s="153">
        <f t="shared" si="25"/>
        <v>190828</v>
      </c>
      <c r="BI25" s="153">
        <f t="shared" si="26"/>
        <v>53758.83333333345</v>
      </c>
      <c r="BJ25" s="154">
        <f t="shared" si="27"/>
        <v>1738856.6814939883</v>
      </c>
      <c r="BK25" s="154">
        <v>1738856.6814939885</v>
      </c>
      <c r="BL25" s="154">
        <v>0</v>
      </c>
      <c r="BM25" s="154">
        <v>1548028.6814939883</v>
      </c>
      <c r="BN25" s="154">
        <v>4020.853718166203</v>
      </c>
      <c r="BO25" s="154">
        <v>3761.873201980198</v>
      </c>
      <c r="BP25" s="155">
        <v>0.06884349957613714</v>
      </c>
      <c r="BQ25" s="155">
        <v>0</v>
      </c>
      <c r="BR25" s="154">
        <v>0</v>
      </c>
      <c r="BS25" s="156">
        <f t="shared" si="28"/>
        <v>1738856.6814939883</v>
      </c>
      <c r="BT25" s="153">
        <v>-843.15</v>
      </c>
      <c r="BU25" s="153">
        <v>-469.7</v>
      </c>
      <c r="BV25" s="157">
        <f t="shared" si="29"/>
        <v>1737543.8314939884</v>
      </c>
      <c r="BW25" s="80"/>
      <c r="BX25" s="208" t="e">
        <f>VLOOKUP(B25,#REF!,22,0)</f>
        <v>#REF!</v>
      </c>
      <c r="BY25" s="211" t="e">
        <f>VLOOKUP(B25,#REF!,11,0)</f>
        <v>#REF!</v>
      </c>
      <c r="BZ25" s="103"/>
      <c r="CA25" s="103"/>
      <c r="CB25" s="127">
        <v>77491</v>
      </c>
      <c r="CD25" s="200">
        <v>87425</v>
      </c>
      <c r="CE25" s="123"/>
      <c r="CF25" s="123">
        <v>2345</v>
      </c>
      <c r="CG25" s="123">
        <v>19691.666666666668</v>
      </c>
      <c r="CH25" s="123">
        <v>63802</v>
      </c>
      <c r="CI25" s="123">
        <v>8813</v>
      </c>
      <c r="CJ25" s="123"/>
      <c r="CK25" s="127"/>
      <c r="CL25" s="2"/>
    </row>
    <row r="26" spans="1:90" ht="14.25">
      <c r="A26" s="185">
        <v>3122032</v>
      </c>
      <c r="B26" s="188">
        <v>2032</v>
      </c>
      <c r="C26" s="102" t="s">
        <v>87</v>
      </c>
      <c r="D26" s="189">
        <v>331</v>
      </c>
      <c r="E26" s="189">
        <v>331</v>
      </c>
      <c r="F26" s="189">
        <v>0</v>
      </c>
      <c r="G26" s="189">
        <v>0</v>
      </c>
      <c r="H26" s="189">
        <v>0</v>
      </c>
      <c r="I26" s="189">
        <v>55.67278287461774</v>
      </c>
      <c r="J26" s="189">
        <v>0</v>
      </c>
      <c r="K26" s="189">
        <v>31.999999999999986</v>
      </c>
      <c r="L26" s="189">
        <v>9.000000000000004</v>
      </c>
      <c r="M26" s="189">
        <v>3.0000000000000004</v>
      </c>
      <c r="N26" s="189">
        <v>1.000000000000001</v>
      </c>
      <c r="O26" s="189">
        <v>0</v>
      </c>
      <c r="P26" s="189">
        <v>0</v>
      </c>
      <c r="Q26" s="189">
        <v>0</v>
      </c>
      <c r="R26" s="189">
        <v>0</v>
      </c>
      <c r="S26" s="189">
        <v>0</v>
      </c>
      <c r="T26" s="189">
        <v>0</v>
      </c>
      <c r="U26" s="189">
        <v>0</v>
      </c>
      <c r="V26" s="189">
        <v>0</v>
      </c>
      <c r="W26" s="189">
        <v>27.08181818181818</v>
      </c>
      <c r="X26" s="189">
        <v>0</v>
      </c>
      <c r="Y26" s="189">
        <v>113.57843137254909</v>
      </c>
      <c r="Z26" s="189">
        <v>0</v>
      </c>
      <c r="AA26" s="189">
        <v>1.1400000000000003</v>
      </c>
      <c r="AB26" s="189">
        <v>0</v>
      </c>
      <c r="AC26" s="152">
        <f t="shared" si="0"/>
        <v>1137739.6800000002</v>
      </c>
      <c r="AD26" s="152">
        <f t="shared" si="1"/>
        <v>0</v>
      </c>
      <c r="AE26" s="152">
        <f t="shared" si="2"/>
        <v>0</v>
      </c>
      <c r="AF26" s="153">
        <f t="shared" si="3"/>
        <v>57406.43333333334</v>
      </c>
      <c r="AG26" s="153">
        <f t="shared" si="4"/>
        <v>0</v>
      </c>
      <c r="AH26" s="153">
        <f t="shared" si="5"/>
        <v>2156.7999999999993</v>
      </c>
      <c r="AI26" s="153">
        <f t="shared" si="6"/>
        <v>1213.2000000000005</v>
      </c>
      <c r="AJ26" s="153">
        <f t="shared" si="7"/>
        <v>606.6300000000001</v>
      </c>
      <c r="AK26" s="153">
        <f t="shared" si="8"/>
        <v>269.6100000000003</v>
      </c>
      <c r="AL26" s="153">
        <f t="shared" si="9"/>
        <v>0</v>
      </c>
      <c r="AM26" s="153">
        <f t="shared" si="10"/>
        <v>0</v>
      </c>
      <c r="AN26" s="153">
        <f t="shared" si="11"/>
        <v>0</v>
      </c>
      <c r="AO26" s="153">
        <f t="shared" si="12"/>
        <v>0</v>
      </c>
      <c r="AP26" s="153">
        <f t="shared" si="13"/>
        <v>0</v>
      </c>
      <c r="AQ26" s="153">
        <f t="shared" si="14"/>
        <v>0</v>
      </c>
      <c r="AR26" s="153">
        <f t="shared" si="15"/>
        <v>0</v>
      </c>
      <c r="AS26" s="153">
        <f t="shared" si="16"/>
        <v>0</v>
      </c>
      <c r="AT26" s="153">
        <f t="shared" si="17"/>
        <v>20816.168727272725</v>
      </c>
      <c r="AU26" s="153">
        <f t="shared" si="18"/>
        <v>0</v>
      </c>
      <c r="AV26" s="153">
        <f t="shared" si="19"/>
        <v>69691.72549019613</v>
      </c>
      <c r="AW26" s="153">
        <f t="shared" si="20"/>
        <v>0</v>
      </c>
      <c r="AX26" s="153">
        <f t="shared" si="21"/>
        <v>948.4800000000002</v>
      </c>
      <c r="AY26" s="153">
        <f t="shared" si="22"/>
        <v>0</v>
      </c>
      <c r="AZ26" s="153">
        <v>140000</v>
      </c>
      <c r="BA26" s="151">
        <v>19250</v>
      </c>
      <c r="BB26" s="151">
        <v>-10766.95</v>
      </c>
      <c r="BC26" s="153"/>
      <c r="BD26" s="153"/>
      <c r="BE26" s="153"/>
      <c r="BF26" s="153">
        <f t="shared" si="23"/>
        <v>1137739.6800000002</v>
      </c>
      <c r="BG26" s="153">
        <f t="shared" si="24"/>
        <v>153109.0475508022</v>
      </c>
      <c r="BH26" s="153">
        <f t="shared" si="25"/>
        <v>148483.05</v>
      </c>
      <c r="BI26" s="153">
        <f t="shared" si="26"/>
        <v>69691.72549019613</v>
      </c>
      <c r="BJ26" s="154">
        <f t="shared" si="27"/>
        <v>1439331.7775508023</v>
      </c>
      <c r="BK26" s="154">
        <v>1439331.7775508023</v>
      </c>
      <c r="BL26" s="154">
        <v>0</v>
      </c>
      <c r="BM26" s="154">
        <v>1290848.7275508023</v>
      </c>
      <c r="BN26" s="154">
        <v>3899.8450983407924</v>
      </c>
      <c r="BO26" s="154">
        <v>3672.1605229102165</v>
      </c>
      <c r="BP26" s="155">
        <v>0.06200289285015626</v>
      </c>
      <c r="BQ26" s="155">
        <v>0</v>
      </c>
      <c r="BR26" s="154">
        <v>0</v>
      </c>
      <c r="BS26" s="156">
        <f t="shared" si="28"/>
        <v>1439331.7775508023</v>
      </c>
      <c r="BT26" s="153">
        <v>-724.89</v>
      </c>
      <c r="BU26" s="153">
        <v>-403.82</v>
      </c>
      <c r="BV26" s="157">
        <f t="shared" si="29"/>
        <v>1438203.0675508024</v>
      </c>
      <c r="BW26" s="80"/>
      <c r="BX26" s="208"/>
      <c r="BY26" s="211"/>
      <c r="BZ26" s="103"/>
      <c r="CA26" s="103"/>
      <c r="CB26" s="127">
        <v>70509</v>
      </c>
      <c r="CD26" s="200">
        <v>73975</v>
      </c>
      <c r="CE26" s="123">
        <v>310</v>
      </c>
      <c r="CF26" s="123">
        <v>2345</v>
      </c>
      <c r="CG26" s="123">
        <v>19293.333333333336</v>
      </c>
      <c r="CH26" s="123"/>
      <c r="CI26" s="123">
        <v>7454</v>
      </c>
      <c r="CJ26" s="123"/>
      <c r="CK26" s="127"/>
      <c r="CL26" s="2"/>
    </row>
    <row r="27" spans="1:90" ht="14.25">
      <c r="A27" s="185">
        <v>3122033</v>
      </c>
      <c r="B27" s="188">
        <v>2033</v>
      </c>
      <c r="C27" s="102" t="s">
        <v>11</v>
      </c>
      <c r="D27" s="189">
        <v>259</v>
      </c>
      <c r="E27" s="189">
        <v>259</v>
      </c>
      <c r="F27" s="189">
        <v>0</v>
      </c>
      <c r="G27" s="189">
        <v>0</v>
      </c>
      <c r="H27" s="189">
        <v>0</v>
      </c>
      <c r="I27" s="189">
        <v>38.51301115241636</v>
      </c>
      <c r="J27" s="189">
        <v>0</v>
      </c>
      <c r="K27" s="189">
        <v>19.00000000000001</v>
      </c>
      <c r="L27" s="189">
        <v>3.0000000000000044</v>
      </c>
      <c r="M27" s="189">
        <v>0.9999999999999997</v>
      </c>
      <c r="N27" s="189">
        <v>0</v>
      </c>
      <c r="O27" s="189">
        <v>0</v>
      </c>
      <c r="P27" s="189">
        <v>0</v>
      </c>
      <c r="Q27" s="189">
        <v>0</v>
      </c>
      <c r="R27" s="189">
        <v>0</v>
      </c>
      <c r="S27" s="189">
        <v>0</v>
      </c>
      <c r="T27" s="189">
        <v>0</v>
      </c>
      <c r="U27" s="189">
        <v>0</v>
      </c>
      <c r="V27" s="189">
        <v>0</v>
      </c>
      <c r="W27" s="189">
        <v>44.39999999999989</v>
      </c>
      <c r="X27" s="189">
        <v>0</v>
      </c>
      <c r="Y27" s="189">
        <v>75.2906976744187</v>
      </c>
      <c r="Z27" s="189">
        <v>0</v>
      </c>
      <c r="AA27" s="189">
        <v>0</v>
      </c>
      <c r="AB27" s="189">
        <v>0</v>
      </c>
      <c r="AC27" s="152">
        <f t="shared" si="0"/>
        <v>890255.52</v>
      </c>
      <c r="AD27" s="152">
        <f t="shared" si="1"/>
        <v>0</v>
      </c>
      <c r="AE27" s="152">
        <f t="shared" si="2"/>
        <v>0</v>
      </c>
      <c r="AF27" s="153">
        <f t="shared" si="3"/>
        <v>39712.30631970261</v>
      </c>
      <c r="AG27" s="153">
        <f t="shared" si="4"/>
        <v>0</v>
      </c>
      <c r="AH27" s="153">
        <f t="shared" si="5"/>
        <v>1280.6000000000008</v>
      </c>
      <c r="AI27" s="153">
        <f t="shared" si="6"/>
        <v>404.40000000000066</v>
      </c>
      <c r="AJ27" s="153">
        <f t="shared" si="7"/>
        <v>202.20999999999995</v>
      </c>
      <c r="AK27" s="153">
        <f t="shared" si="8"/>
        <v>0</v>
      </c>
      <c r="AL27" s="153">
        <f t="shared" si="9"/>
        <v>0</v>
      </c>
      <c r="AM27" s="153">
        <f t="shared" si="10"/>
        <v>0</v>
      </c>
      <c r="AN27" s="153">
        <f t="shared" si="11"/>
        <v>0</v>
      </c>
      <c r="AO27" s="153">
        <f t="shared" si="12"/>
        <v>0</v>
      </c>
      <c r="AP27" s="153">
        <f t="shared" si="13"/>
        <v>0</v>
      </c>
      <c r="AQ27" s="153">
        <f t="shared" si="14"/>
        <v>0</v>
      </c>
      <c r="AR27" s="153">
        <f t="shared" si="15"/>
        <v>0</v>
      </c>
      <c r="AS27" s="153">
        <f t="shared" si="16"/>
        <v>0</v>
      </c>
      <c r="AT27" s="153">
        <f t="shared" si="17"/>
        <v>34127.615999999914</v>
      </c>
      <c r="AU27" s="153">
        <f t="shared" si="18"/>
        <v>0</v>
      </c>
      <c r="AV27" s="153">
        <f t="shared" si="19"/>
        <v>46198.37209302331</v>
      </c>
      <c r="AW27" s="153">
        <f t="shared" si="20"/>
        <v>0</v>
      </c>
      <c r="AX27" s="153">
        <f t="shared" si="21"/>
        <v>0</v>
      </c>
      <c r="AY27" s="153">
        <f t="shared" si="22"/>
        <v>0</v>
      </c>
      <c r="AZ27" s="153">
        <v>140000</v>
      </c>
      <c r="BA27" s="151">
        <v>19250</v>
      </c>
      <c r="BB27" s="151">
        <v>-10766.95</v>
      </c>
      <c r="BC27" s="153"/>
      <c r="BD27" s="153"/>
      <c r="BE27" s="153"/>
      <c r="BF27" s="153">
        <f t="shared" si="23"/>
        <v>890255.52</v>
      </c>
      <c r="BG27" s="153">
        <f t="shared" si="24"/>
        <v>121925.50441272584</v>
      </c>
      <c r="BH27" s="153">
        <f t="shared" si="25"/>
        <v>148483.05</v>
      </c>
      <c r="BI27" s="153">
        <f t="shared" si="26"/>
        <v>46198.37209302331</v>
      </c>
      <c r="BJ27" s="154">
        <f t="shared" si="27"/>
        <v>1160664.0744127259</v>
      </c>
      <c r="BK27" s="154">
        <v>1160664.0744127259</v>
      </c>
      <c r="BL27" s="154">
        <v>0</v>
      </c>
      <c r="BM27" s="154">
        <v>1012181.0244127258</v>
      </c>
      <c r="BN27" s="154">
        <v>3908.034843292378</v>
      </c>
      <c r="BO27" s="154">
        <v>3657.4012961685817</v>
      </c>
      <c r="BP27" s="155">
        <v>0.06852776789529626</v>
      </c>
      <c r="BQ27" s="155">
        <v>0</v>
      </c>
      <c r="BR27" s="154">
        <v>0</v>
      </c>
      <c r="BS27" s="156">
        <f t="shared" si="28"/>
        <v>1160664.0744127259</v>
      </c>
      <c r="BT27" s="153">
        <v>-567.21</v>
      </c>
      <c r="BU27" s="153">
        <v>-315.98</v>
      </c>
      <c r="BV27" s="157">
        <f t="shared" si="29"/>
        <v>1159780.884412726</v>
      </c>
      <c r="BW27" s="80"/>
      <c r="BX27" s="208" t="e">
        <f>VLOOKUP(B27,#REF!,22,0)</f>
        <v>#REF!</v>
      </c>
      <c r="BY27" s="211" t="e">
        <f>VLOOKUP(B27,#REF!,11,0)</f>
        <v>#REF!</v>
      </c>
      <c r="BZ27" s="103"/>
      <c r="CA27" s="103"/>
      <c r="CB27" s="127">
        <v>11251</v>
      </c>
      <c r="CD27" s="200">
        <v>51110</v>
      </c>
      <c r="CE27" s="123"/>
      <c r="CF27" s="123">
        <v>2345</v>
      </c>
      <c r="CG27" s="123">
        <v>18256.666666666668</v>
      </c>
      <c r="CH27" s="123">
        <v>71450</v>
      </c>
      <c r="CI27" s="123">
        <v>7481</v>
      </c>
      <c r="CJ27" s="123"/>
      <c r="CK27" s="127"/>
      <c r="CL27" s="2"/>
    </row>
    <row r="28" spans="1:90" ht="14.25">
      <c r="A28" s="185">
        <v>3122035</v>
      </c>
      <c r="B28" s="188">
        <v>2035</v>
      </c>
      <c r="C28" s="102" t="s">
        <v>144</v>
      </c>
      <c r="D28" s="189">
        <v>260</v>
      </c>
      <c r="E28" s="189">
        <v>260</v>
      </c>
      <c r="F28" s="189">
        <v>0</v>
      </c>
      <c r="G28" s="189">
        <v>0</v>
      </c>
      <c r="H28" s="189">
        <v>0</v>
      </c>
      <c r="I28" s="189">
        <v>59.090909090909086</v>
      </c>
      <c r="J28" s="189">
        <v>0</v>
      </c>
      <c r="K28" s="189">
        <v>22.70742358078602</v>
      </c>
      <c r="L28" s="189">
        <v>42.008733624454216</v>
      </c>
      <c r="M28" s="189">
        <v>22.70742358078602</v>
      </c>
      <c r="N28" s="189">
        <v>74.934497816594</v>
      </c>
      <c r="O28" s="189">
        <v>35.19650655021826</v>
      </c>
      <c r="P28" s="189">
        <v>0</v>
      </c>
      <c r="Q28" s="189">
        <v>0</v>
      </c>
      <c r="R28" s="189">
        <v>0</v>
      </c>
      <c r="S28" s="189">
        <v>0</v>
      </c>
      <c r="T28" s="189">
        <v>0</v>
      </c>
      <c r="U28" s="189">
        <v>0</v>
      </c>
      <c r="V28" s="189">
        <v>0</v>
      </c>
      <c r="W28" s="189">
        <v>42.5730994152048</v>
      </c>
      <c r="X28" s="189">
        <v>0</v>
      </c>
      <c r="Y28" s="189">
        <v>79.26829268292688</v>
      </c>
      <c r="Z28" s="189">
        <v>0</v>
      </c>
      <c r="AA28" s="189">
        <v>2.5659388646288277</v>
      </c>
      <c r="AB28" s="189">
        <v>0</v>
      </c>
      <c r="AC28" s="152">
        <f t="shared" si="0"/>
        <v>893692.8</v>
      </c>
      <c r="AD28" s="152">
        <f t="shared" si="1"/>
        <v>0</v>
      </c>
      <c r="AE28" s="152">
        <f t="shared" si="2"/>
        <v>0</v>
      </c>
      <c r="AF28" s="153">
        <f t="shared" si="3"/>
        <v>60931</v>
      </c>
      <c r="AG28" s="153">
        <f t="shared" si="4"/>
        <v>0</v>
      </c>
      <c r="AH28" s="153">
        <f t="shared" si="5"/>
        <v>1530.4803493449779</v>
      </c>
      <c r="AI28" s="153">
        <f t="shared" si="6"/>
        <v>5662.777292576428</v>
      </c>
      <c r="AJ28" s="153">
        <f t="shared" si="7"/>
        <v>4591.668122270741</v>
      </c>
      <c r="AK28" s="153">
        <f t="shared" si="8"/>
        <v>20203.08995633191</v>
      </c>
      <c r="AL28" s="153">
        <f t="shared" si="9"/>
        <v>11861.574672489056</v>
      </c>
      <c r="AM28" s="153">
        <f t="shared" si="10"/>
        <v>0</v>
      </c>
      <c r="AN28" s="153">
        <f t="shared" si="11"/>
        <v>0</v>
      </c>
      <c r="AO28" s="153">
        <f t="shared" si="12"/>
        <v>0</v>
      </c>
      <c r="AP28" s="153">
        <f t="shared" si="13"/>
        <v>0</v>
      </c>
      <c r="AQ28" s="153">
        <f t="shared" si="14"/>
        <v>0</v>
      </c>
      <c r="AR28" s="153">
        <f t="shared" si="15"/>
        <v>0</v>
      </c>
      <c r="AS28" s="153">
        <f t="shared" si="16"/>
        <v>0</v>
      </c>
      <c r="AT28" s="153">
        <f t="shared" si="17"/>
        <v>32723.387134503017</v>
      </c>
      <c r="AU28" s="153">
        <f t="shared" si="18"/>
        <v>0</v>
      </c>
      <c r="AV28" s="153">
        <f t="shared" si="19"/>
        <v>48639.02439024394</v>
      </c>
      <c r="AW28" s="153">
        <f t="shared" si="20"/>
        <v>0</v>
      </c>
      <c r="AX28" s="153">
        <f t="shared" si="21"/>
        <v>2134.8611353711844</v>
      </c>
      <c r="AY28" s="153">
        <f t="shared" si="22"/>
        <v>0</v>
      </c>
      <c r="AZ28" s="153">
        <v>140000</v>
      </c>
      <c r="BA28" s="151">
        <v>9550</v>
      </c>
      <c r="BB28" s="151">
        <v>-8541.6</v>
      </c>
      <c r="BC28" s="153"/>
      <c r="BD28" s="153"/>
      <c r="BE28" s="153">
        <v>-16195</v>
      </c>
      <c r="BF28" s="153">
        <f t="shared" si="23"/>
        <v>893692.8</v>
      </c>
      <c r="BG28" s="153">
        <f t="shared" si="24"/>
        <v>188277.86305313124</v>
      </c>
      <c r="BH28" s="153">
        <f t="shared" si="25"/>
        <v>124813.4</v>
      </c>
      <c r="BI28" s="153">
        <f t="shared" si="26"/>
        <v>48639.02439024394</v>
      </c>
      <c r="BJ28" s="154">
        <f t="shared" si="27"/>
        <v>1206784.063053131</v>
      </c>
      <c r="BK28" s="154">
        <v>1206784.0630531313</v>
      </c>
      <c r="BL28" s="154">
        <v>0</v>
      </c>
      <c r="BM28" s="154">
        <v>1065775.6630531312</v>
      </c>
      <c r="BN28" s="154">
        <v>4099.137165588966</v>
      </c>
      <c r="BO28" s="154">
        <v>3590.9137197950895</v>
      </c>
      <c r="BP28" s="155">
        <v>0.14153039740060303</v>
      </c>
      <c r="BQ28" s="155">
        <v>0</v>
      </c>
      <c r="BR28" s="154">
        <v>0</v>
      </c>
      <c r="BS28" s="156">
        <f t="shared" si="28"/>
        <v>1206784.063053131</v>
      </c>
      <c r="BT28" s="153">
        <v>0</v>
      </c>
      <c r="BU28" s="153">
        <v>0</v>
      </c>
      <c r="BV28" s="157">
        <f t="shared" si="29"/>
        <v>1206784.063053131</v>
      </c>
      <c r="BW28" s="80"/>
      <c r="BX28" s="208" t="e">
        <f>VLOOKUP(B28,#REF!,22,0)</f>
        <v>#REF!</v>
      </c>
      <c r="BY28" s="211" t="e">
        <f>VLOOKUP(B28,#REF!,11,0)</f>
        <v>#REF!</v>
      </c>
      <c r="BZ28" s="103"/>
      <c r="CA28" s="103"/>
      <c r="CB28" s="127">
        <v>43500</v>
      </c>
      <c r="CD28" s="200"/>
      <c r="CE28" s="123"/>
      <c r="CF28" s="123"/>
      <c r="CG28" s="123"/>
      <c r="CH28" s="123"/>
      <c r="CI28" s="123"/>
      <c r="CJ28" s="123"/>
      <c r="CK28" s="127"/>
      <c r="CL28" s="2"/>
    </row>
    <row r="29" spans="1:90" ht="14.25">
      <c r="A29" s="185">
        <v>3122036</v>
      </c>
      <c r="B29" s="188">
        <v>2036</v>
      </c>
      <c r="C29" s="102" t="s">
        <v>88</v>
      </c>
      <c r="D29" s="189">
        <v>440</v>
      </c>
      <c r="E29" s="189">
        <v>440</v>
      </c>
      <c r="F29" s="189">
        <v>0</v>
      </c>
      <c r="G29" s="189">
        <v>0</v>
      </c>
      <c r="H29" s="189">
        <v>0</v>
      </c>
      <c r="I29" s="189">
        <v>148.36027713625867</v>
      </c>
      <c r="J29" s="189">
        <v>0</v>
      </c>
      <c r="K29" s="189">
        <v>143</v>
      </c>
      <c r="L29" s="189">
        <v>44</v>
      </c>
      <c r="M29" s="189">
        <v>219.0000000000001</v>
      </c>
      <c r="N29" s="189">
        <v>6.9999999999999964</v>
      </c>
      <c r="O29" s="189">
        <v>2.0000000000000018</v>
      </c>
      <c r="P29" s="189">
        <v>0</v>
      </c>
      <c r="Q29" s="189">
        <v>0</v>
      </c>
      <c r="R29" s="189">
        <v>0</v>
      </c>
      <c r="S29" s="189">
        <v>0</v>
      </c>
      <c r="T29" s="189">
        <v>0</v>
      </c>
      <c r="U29" s="189">
        <v>0</v>
      </c>
      <c r="V29" s="189">
        <v>0</v>
      </c>
      <c r="W29" s="189">
        <v>146.33257403189083</v>
      </c>
      <c r="X29" s="189">
        <v>0</v>
      </c>
      <c r="Y29" s="189">
        <v>205.25139664804456</v>
      </c>
      <c r="Z29" s="189">
        <v>0</v>
      </c>
      <c r="AA29" s="189">
        <v>4.600000000000024</v>
      </c>
      <c r="AB29" s="189">
        <v>0</v>
      </c>
      <c r="AC29" s="152">
        <f t="shared" si="0"/>
        <v>1512403.2000000002</v>
      </c>
      <c r="AD29" s="152">
        <f t="shared" si="1"/>
        <v>0</v>
      </c>
      <c r="AE29" s="152">
        <f t="shared" si="2"/>
        <v>0</v>
      </c>
      <c r="AF29" s="153">
        <f t="shared" si="3"/>
        <v>152980.21616628178</v>
      </c>
      <c r="AG29" s="153">
        <f t="shared" si="4"/>
        <v>0</v>
      </c>
      <c r="AH29" s="153">
        <f t="shared" si="5"/>
        <v>9638.2</v>
      </c>
      <c r="AI29" s="153">
        <f t="shared" si="6"/>
        <v>5931.200000000001</v>
      </c>
      <c r="AJ29" s="153">
        <f t="shared" si="7"/>
        <v>44283.99000000003</v>
      </c>
      <c r="AK29" s="153">
        <f t="shared" si="8"/>
        <v>1887.269999999999</v>
      </c>
      <c r="AL29" s="153">
        <f t="shared" si="9"/>
        <v>674.0200000000006</v>
      </c>
      <c r="AM29" s="153">
        <f t="shared" si="10"/>
        <v>0</v>
      </c>
      <c r="AN29" s="153">
        <f t="shared" si="11"/>
        <v>0</v>
      </c>
      <c r="AO29" s="153">
        <f t="shared" si="12"/>
        <v>0</v>
      </c>
      <c r="AP29" s="153">
        <f t="shared" si="13"/>
        <v>0</v>
      </c>
      <c r="AQ29" s="153">
        <f t="shared" si="14"/>
        <v>0</v>
      </c>
      <c r="AR29" s="153">
        <f t="shared" si="15"/>
        <v>0</v>
      </c>
      <c r="AS29" s="153">
        <f t="shared" si="16"/>
        <v>0</v>
      </c>
      <c r="AT29" s="153">
        <f t="shared" si="17"/>
        <v>112477.06970387256</v>
      </c>
      <c r="AU29" s="153">
        <f t="shared" si="18"/>
        <v>0</v>
      </c>
      <c r="AV29" s="153">
        <f t="shared" si="19"/>
        <v>125942.25698324015</v>
      </c>
      <c r="AW29" s="153">
        <f t="shared" si="20"/>
        <v>0</v>
      </c>
      <c r="AX29" s="153">
        <f t="shared" si="21"/>
        <v>3827.20000000002</v>
      </c>
      <c r="AY29" s="153">
        <f t="shared" si="22"/>
        <v>0</v>
      </c>
      <c r="AZ29" s="153">
        <v>140000</v>
      </c>
      <c r="BA29" s="151">
        <v>30000</v>
      </c>
      <c r="BB29" s="151">
        <v>1134.62</v>
      </c>
      <c r="BC29" s="153"/>
      <c r="BD29" s="153"/>
      <c r="BE29" s="153"/>
      <c r="BF29" s="153">
        <f t="shared" si="23"/>
        <v>1512403.2000000002</v>
      </c>
      <c r="BG29" s="153">
        <f t="shared" si="24"/>
        <v>457641.4228533945</v>
      </c>
      <c r="BH29" s="153">
        <f t="shared" si="25"/>
        <v>171134.62</v>
      </c>
      <c r="BI29" s="153">
        <f t="shared" si="26"/>
        <v>125942.25698324015</v>
      </c>
      <c r="BJ29" s="154">
        <f t="shared" si="27"/>
        <v>2141179.2428533947</v>
      </c>
      <c r="BK29" s="154">
        <v>2141179.2428533947</v>
      </c>
      <c r="BL29" s="154">
        <v>0</v>
      </c>
      <c r="BM29" s="154">
        <v>1970044.6228533946</v>
      </c>
      <c r="BN29" s="154">
        <v>4477.374142848624</v>
      </c>
      <c r="BO29" s="154">
        <v>4272.50190340136</v>
      </c>
      <c r="BP29" s="155">
        <v>0.047951351240865116</v>
      </c>
      <c r="BQ29" s="155">
        <v>0</v>
      </c>
      <c r="BR29" s="154">
        <v>0</v>
      </c>
      <c r="BS29" s="156">
        <f t="shared" si="28"/>
        <v>2141179.2428533947</v>
      </c>
      <c r="BT29" s="153">
        <v>-963.6</v>
      </c>
      <c r="BU29" s="153">
        <v>-536.8</v>
      </c>
      <c r="BV29" s="157">
        <f t="shared" si="29"/>
        <v>2139678.842853395</v>
      </c>
      <c r="BW29" s="80"/>
      <c r="BX29" s="208"/>
      <c r="BY29" s="211"/>
      <c r="BZ29" s="103"/>
      <c r="CA29" s="103"/>
      <c r="CB29" s="127">
        <v>105942</v>
      </c>
      <c r="CD29" s="200">
        <v>195025</v>
      </c>
      <c r="CE29" s="123"/>
      <c r="CF29" s="123">
        <v>2345</v>
      </c>
      <c r="CG29" s="123">
        <v>20370.833333333336</v>
      </c>
      <c r="CH29" s="123"/>
      <c r="CI29" s="123">
        <v>8961</v>
      </c>
      <c r="CJ29" s="123"/>
      <c r="CK29" s="127"/>
      <c r="CL29" s="2"/>
    </row>
    <row r="30" spans="1:90" ht="14.25">
      <c r="A30" s="185">
        <v>3122037</v>
      </c>
      <c r="B30" s="188">
        <v>2037</v>
      </c>
      <c r="C30" s="102" t="s">
        <v>89</v>
      </c>
      <c r="D30" s="189">
        <v>322</v>
      </c>
      <c r="E30" s="189">
        <v>322</v>
      </c>
      <c r="F30" s="189">
        <v>0</v>
      </c>
      <c r="G30" s="189">
        <v>0</v>
      </c>
      <c r="H30" s="189">
        <v>0</v>
      </c>
      <c r="I30" s="189">
        <v>84.99999999999996</v>
      </c>
      <c r="J30" s="189">
        <v>0</v>
      </c>
      <c r="K30" s="189">
        <v>96.00000000000001</v>
      </c>
      <c r="L30" s="189">
        <v>41.00000000000005</v>
      </c>
      <c r="M30" s="189">
        <v>163.0000000000001</v>
      </c>
      <c r="N30" s="189">
        <v>2.999999999999999</v>
      </c>
      <c r="O30" s="189">
        <v>1.9999999999999993</v>
      </c>
      <c r="P30" s="189">
        <v>0</v>
      </c>
      <c r="Q30" s="189">
        <v>0</v>
      </c>
      <c r="R30" s="189">
        <v>0</v>
      </c>
      <c r="S30" s="189">
        <v>0</v>
      </c>
      <c r="T30" s="189">
        <v>0</v>
      </c>
      <c r="U30" s="189">
        <v>0</v>
      </c>
      <c r="V30" s="189">
        <v>0</v>
      </c>
      <c r="W30" s="189">
        <v>264.848484848485</v>
      </c>
      <c r="X30" s="189">
        <v>0</v>
      </c>
      <c r="Y30" s="189">
        <v>88.3627906976745</v>
      </c>
      <c r="Z30" s="189">
        <v>0</v>
      </c>
      <c r="AA30" s="189">
        <v>0</v>
      </c>
      <c r="AB30" s="189">
        <v>0</v>
      </c>
      <c r="AC30" s="152">
        <f t="shared" si="0"/>
        <v>1106804.1600000001</v>
      </c>
      <c r="AD30" s="152">
        <f t="shared" si="1"/>
        <v>0</v>
      </c>
      <c r="AE30" s="152">
        <f t="shared" si="2"/>
        <v>0</v>
      </c>
      <c r="AF30" s="153">
        <f t="shared" si="3"/>
        <v>87646.89999999997</v>
      </c>
      <c r="AG30" s="153">
        <f t="shared" si="4"/>
        <v>0</v>
      </c>
      <c r="AH30" s="153">
        <f t="shared" si="5"/>
        <v>6470.4000000000015</v>
      </c>
      <c r="AI30" s="153">
        <f t="shared" si="6"/>
        <v>5526.8000000000075</v>
      </c>
      <c r="AJ30" s="153">
        <f t="shared" si="7"/>
        <v>32960.230000000025</v>
      </c>
      <c r="AK30" s="153">
        <f t="shared" si="8"/>
        <v>808.8299999999998</v>
      </c>
      <c r="AL30" s="153">
        <f t="shared" si="9"/>
        <v>674.0199999999998</v>
      </c>
      <c r="AM30" s="153">
        <f t="shared" si="10"/>
        <v>0</v>
      </c>
      <c r="AN30" s="153">
        <f t="shared" si="11"/>
        <v>0</v>
      </c>
      <c r="AO30" s="153">
        <f t="shared" si="12"/>
        <v>0</v>
      </c>
      <c r="AP30" s="153">
        <f t="shared" si="13"/>
        <v>0</v>
      </c>
      <c r="AQ30" s="153">
        <f t="shared" si="14"/>
        <v>0</v>
      </c>
      <c r="AR30" s="153">
        <f t="shared" si="15"/>
        <v>0</v>
      </c>
      <c r="AS30" s="153">
        <f t="shared" si="16"/>
        <v>0</v>
      </c>
      <c r="AT30" s="153">
        <f t="shared" si="17"/>
        <v>203573.1393939395</v>
      </c>
      <c r="AU30" s="153">
        <f t="shared" si="18"/>
        <v>0</v>
      </c>
      <c r="AV30" s="153">
        <f t="shared" si="19"/>
        <v>54219.40837209307</v>
      </c>
      <c r="AW30" s="153">
        <f t="shared" si="20"/>
        <v>0</v>
      </c>
      <c r="AX30" s="153">
        <f t="shared" si="21"/>
        <v>0</v>
      </c>
      <c r="AY30" s="153">
        <f t="shared" si="22"/>
        <v>0</v>
      </c>
      <c r="AZ30" s="153">
        <v>140000</v>
      </c>
      <c r="BA30" s="151">
        <v>30000</v>
      </c>
      <c r="BB30" s="151">
        <v>1134.61</v>
      </c>
      <c r="BC30" s="153"/>
      <c r="BD30" s="153"/>
      <c r="BE30" s="153"/>
      <c r="BF30" s="153">
        <f t="shared" si="23"/>
        <v>1106804.1600000001</v>
      </c>
      <c r="BG30" s="153">
        <f t="shared" si="24"/>
        <v>391879.7277660325</v>
      </c>
      <c r="BH30" s="153">
        <f t="shared" si="25"/>
        <v>171134.61</v>
      </c>
      <c r="BI30" s="153">
        <f t="shared" si="26"/>
        <v>54219.40837209307</v>
      </c>
      <c r="BJ30" s="154">
        <f t="shared" si="27"/>
        <v>1669818.4977660328</v>
      </c>
      <c r="BK30" s="154">
        <v>1669818.5077660326</v>
      </c>
      <c r="BL30" s="154">
        <v>0</v>
      </c>
      <c r="BM30" s="154">
        <v>1498683.8877660325</v>
      </c>
      <c r="BN30" s="154">
        <v>4654.2977880932685</v>
      </c>
      <c r="BO30" s="154">
        <v>4312.193976744185</v>
      </c>
      <c r="BP30" s="155">
        <v>0.0793340497190203</v>
      </c>
      <c r="BQ30" s="155">
        <v>0</v>
      </c>
      <c r="BR30" s="154">
        <v>0</v>
      </c>
      <c r="BS30" s="156">
        <f t="shared" si="28"/>
        <v>1669818.4977660328</v>
      </c>
      <c r="BT30" s="153">
        <v>-705.18</v>
      </c>
      <c r="BU30" s="153">
        <v>-392.84</v>
      </c>
      <c r="BV30" s="157">
        <f t="shared" si="29"/>
        <v>1668720.4777660328</v>
      </c>
      <c r="BW30" s="80"/>
      <c r="BX30" s="208" t="e">
        <f>VLOOKUP(B30,#REF!,22,0)</f>
        <v>#REF!</v>
      </c>
      <c r="BY30" s="211"/>
      <c r="BZ30" s="103"/>
      <c r="CA30" s="103"/>
      <c r="CB30" s="127">
        <v>70168</v>
      </c>
      <c r="CD30" s="200">
        <v>80700</v>
      </c>
      <c r="CE30" s="123"/>
      <c r="CF30" s="123"/>
      <c r="CG30" s="123">
        <v>18832.5</v>
      </c>
      <c r="CH30" s="123">
        <v>97670</v>
      </c>
      <c r="CI30" s="123">
        <v>8545</v>
      </c>
      <c r="CJ30" s="123"/>
      <c r="CK30" s="127"/>
      <c r="CL30" s="2"/>
    </row>
    <row r="31" spans="1:90" ht="14.25">
      <c r="A31" s="185">
        <v>3122038</v>
      </c>
      <c r="B31" s="188">
        <v>2038</v>
      </c>
      <c r="C31" s="102" t="s">
        <v>13</v>
      </c>
      <c r="D31" s="189">
        <v>356</v>
      </c>
      <c r="E31" s="189">
        <v>356</v>
      </c>
      <c r="F31" s="189">
        <v>0</v>
      </c>
      <c r="G31" s="189">
        <v>0</v>
      </c>
      <c r="H31" s="189">
        <v>0</v>
      </c>
      <c r="I31" s="189">
        <v>48.3213296398892</v>
      </c>
      <c r="J31" s="189">
        <v>0</v>
      </c>
      <c r="K31" s="189">
        <v>4.000000000000009</v>
      </c>
      <c r="L31" s="189">
        <v>20.00000000000001</v>
      </c>
      <c r="M31" s="189">
        <v>2.000000000000001</v>
      </c>
      <c r="N31" s="189">
        <v>0</v>
      </c>
      <c r="O31" s="189">
        <v>0</v>
      </c>
      <c r="P31" s="189">
        <v>0</v>
      </c>
      <c r="Q31" s="189">
        <v>0</v>
      </c>
      <c r="R31" s="189">
        <v>0</v>
      </c>
      <c r="S31" s="189">
        <v>0</v>
      </c>
      <c r="T31" s="189">
        <v>0</v>
      </c>
      <c r="U31" s="189">
        <v>0</v>
      </c>
      <c r="V31" s="189">
        <v>0</v>
      </c>
      <c r="W31" s="189">
        <v>29.00000000000001</v>
      </c>
      <c r="X31" s="189">
        <v>0</v>
      </c>
      <c r="Y31" s="189">
        <v>79.79310344827596</v>
      </c>
      <c r="Z31" s="189">
        <v>0</v>
      </c>
      <c r="AA31" s="189">
        <v>0</v>
      </c>
      <c r="AB31" s="189">
        <v>0</v>
      </c>
      <c r="AC31" s="152">
        <f t="shared" si="0"/>
        <v>1223671.6800000002</v>
      </c>
      <c r="AD31" s="152">
        <f t="shared" si="1"/>
        <v>0</v>
      </c>
      <c r="AE31" s="152">
        <f t="shared" si="2"/>
        <v>0</v>
      </c>
      <c r="AF31" s="153">
        <f t="shared" si="3"/>
        <v>49826.05584487535</v>
      </c>
      <c r="AG31" s="153">
        <f t="shared" si="4"/>
        <v>0</v>
      </c>
      <c r="AH31" s="153">
        <f t="shared" si="5"/>
        <v>269.60000000000065</v>
      </c>
      <c r="AI31" s="153">
        <f t="shared" si="6"/>
        <v>2696.000000000002</v>
      </c>
      <c r="AJ31" s="153">
        <f t="shared" si="7"/>
        <v>404.4200000000002</v>
      </c>
      <c r="AK31" s="153">
        <f t="shared" si="8"/>
        <v>0</v>
      </c>
      <c r="AL31" s="153">
        <f t="shared" si="9"/>
        <v>0</v>
      </c>
      <c r="AM31" s="153">
        <f t="shared" si="10"/>
        <v>0</v>
      </c>
      <c r="AN31" s="153">
        <f t="shared" si="11"/>
        <v>0</v>
      </c>
      <c r="AO31" s="153">
        <f t="shared" si="12"/>
        <v>0</v>
      </c>
      <c r="AP31" s="153">
        <f t="shared" si="13"/>
        <v>0</v>
      </c>
      <c r="AQ31" s="153">
        <f t="shared" si="14"/>
        <v>0</v>
      </c>
      <c r="AR31" s="153">
        <f t="shared" si="15"/>
        <v>0</v>
      </c>
      <c r="AS31" s="153">
        <f t="shared" si="16"/>
        <v>0</v>
      </c>
      <c r="AT31" s="153">
        <f t="shared" si="17"/>
        <v>22290.56000000001</v>
      </c>
      <c r="AU31" s="153">
        <f t="shared" si="18"/>
        <v>0</v>
      </c>
      <c r="AV31" s="153">
        <f t="shared" si="19"/>
        <v>48961.04827586213</v>
      </c>
      <c r="AW31" s="153">
        <f t="shared" si="20"/>
        <v>0</v>
      </c>
      <c r="AX31" s="153">
        <f t="shared" si="21"/>
        <v>0</v>
      </c>
      <c r="AY31" s="153">
        <f t="shared" si="22"/>
        <v>0</v>
      </c>
      <c r="AZ31" s="153">
        <v>140000</v>
      </c>
      <c r="BA31" s="151">
        <v>27750</v>
      </c>
      <c r="BB31" s="151">
        <v>1332</v>
      </c>
      <c r="BC31" s="153"/>
      <c r="BD31" s="153"/>
      <c r="BE31" s="153"/>
      <c r="BF31" s="153">
        <f t="shared" si="23"/>
        <v>1223671.6800000002</v>
      </c>
      <c r="BG31" s="153">
        <f t="shared" si="24"/>
        <v>124447.68412073748</v>
      </c>
      <c r="BH31" s="153">
        <f t="shared" si="25"/>
        <v>169082</v>
      </c>
      <c r="BI31" s="153">
        <f t="shared" si="26"/>
        <v>48961.04827586213</v>
      </c>
      <c r="BJ31" s="154">
        <f t="shared" si="27"/>
        <v>1517201.3641207376</v>
      </c>
      <c r="BK31" s="154">
        <v>1517201.3641207376</v>
      </c>
      <c r="BL31" s="154">
        <v>0</v>
      </c>
      <c r="BM31" s="154">
        <v>1348119.3641207376</v>
      </c>
      <c r="BN31" s="154">
        <v>3786.8521464065666</v>
      </c>
      <c r="BO31" s="154">
        <v>3575.2966888579385</v>
      </c>
      <c r="BP31" s="155">
        <v>0.05917144113044377</v>
      </c>
      <c r="BQ31" s="155">
        <v>0</v>
      </c>
      <c r="BR31" s="154">
        <v>0</v>
      </c>
      <c r="BS31" s="156">
        <f t="shared" si="28"/>
        <v>1517201.3641207376</v>
      </c>
      <c r="BT31" s="153">
        <v>-779.64</v>
      </c>
      <c r="BU31" s="153">
        <v>-434.32</v>
      </c>
      <c r="BV31" s="157">
        <f t="shared" si="29"/>
        <v>1515987.4041207377</v>
      </c>
      <c r="BW31" s="80"/>
      <c r="BX31" s="208"/>
      <c r="BY31" s="211"/>
      <c r="BZ31" s="103"/>
      <c r="CA31" s="103"/>
      <c r="CB31" s="127">
        <v>105484</v>
      </c>
      <c r="CD31" s="200">
        <v>64560</v>
      </c>
      <c r="CE31" s="123"/>
      <c r="CF31" s="123">
        <v>2345</v>
      </c>
      <c r="CG31" s="123">
        <v>19580.833333333336</v>
      </c>
      <c r="CH31" s="123"/>
      <c r="CI31" s="123">
        <v>8050</v>
      </c>
      <c r="CJ31" s="123"/>
      <c r="CK31" s="127"/>
      <c r="CL31" s="2"/>
    </row>
    <row r="32" spans="1:90" ht="14.25">
      <c r="A32" s="185">
        <v>3122039</v>
      </c>
      <c r="B32" s="188">
        <v>2039</v>
      </c>
      <c r="C32" s="102" t="s">
        <v>14</v>
      </c>
      <c r="D32" s="189">
        <v>268</v>
      </c>
      <c r="E32" s="189">
        <v>268</v>
      </c>
      <c r="F32" s="189">
        <v>0</v>
      </c>
      <c r="G32" s="189">
        <v>0</v>
      </c>
      <c r="H32" s="189">
        <v>0</v>
      </c>
      <c r="I32" s="189">
        <v>16.936802973977695</v>
      </c>
      <c r="J32" s="189">
        <v>0</v>
      </c>
      <c r="K32" s="189">
        <v>3.000000000000008</v>
      </c>
      <c r="L32" s="189">
        <v>4.999999999999988</v>
      </c>
      <c r="M32" s="189">
        <v>4.000000000000011</v>
      </c>
      <c r="N32" s="189">
        <v>0</v>
      </c>
      <c r="O32" s="189">
        <v>1</v>
      </c>
      <c r="P32" s="189">
        <v>0</v>
      </c>
      <c r="Q32" s="189">
        <v>0</v>
      </c>
      <c r="R32" s="189">
        <v>0</v>
      </c>
      <c r="S32" s="189">
        <v>0</v>
      </c>
      <c r="T32" s="189">
        <v>0</v>
      </c>
      <c r="U32" s="189">
        <v>0</v>
      </c>
      <c r="V32" s="189">
        <v>0</v>
      </c>
      <c r="W32" s="189">
        <v>69.25842696629219</v>
      </c>
      <c r="X32" s="189">
        <v>0</v>
      </c>
      <c r="Y32" s="189">
        <v>63.14942528735633</v>
      </c>
      <c r="Z32" s="189">
        <v>0</v>
      </c>
      <c r="AA32" s="189">
        <v>0</v>
      </c>
      <c r="AB32" s="189">
        <v>0</v>
      </c>
      <c r="AC32" s="152">
        <f t="shared" si="0"/>
        <v>921191.04</v>
      </c>
      <c r="AD32" s="152">
        <f t="shared" si="1"/>
        <v>0</v>
      </c>
      <c r="AE32" s="152">
        <f t="shared" si="2"/>
        <v>0</v>
      </c>
      <c r="AF32" s="153">
        <f t="shared" si="3"/>
        <v>17464.21501858736</v>
      </c>
      <c r="AG32" s="153">
        <f t="shared" si="4"/>
        <v>0</v>
      </c>
      <c r="AH32" s="153">
        <f t="shared" si="5"/>
        <v>202.20000000000056</v>
      </c>
      <c r="AI32" s="153">
        <f t="shared" si="6"/>
        <v>673.9999999999984</v>
      </c>
      <c r="AJ32" s="153">
        <f t="shared" si="7"/>
        <v>808.8400000000022</v>
      </c>
      <c r="AK32" s="153">
        <f t="shared" si="8"/>
        <v>0</v>
      </c>
      <c r="AL32" s="153">
        <f t="shared" si="9"/>
        <v>337.01</v>
      </c>
      <c r="AM32" s="153">
        <f t="shared" si="10"/>
        <v>0</v>
      </c>
      <c r="AN32" s="153">
        <f t="shared" si="11"/>
        <v>0</v>
      </c>
      <c r="AO32" s="153">
        <f t="shared" si="12"/>
        <v>0</v>
      </c>
      <c r="AP32" s="153">
        <f t="shared" si="13"/>
        <v>0</v>
      </c>
      <c r="AQ32" s="153">
        <f t="shared" si="14"/>
        <v>0</v>
      </c>
      <c r="AR32" s="153">
        <f t="shared" si="15"/>
        <v>0</v>
      </c>
      <c r="AS32" s="153">
        <f t="shared" si="16"/>
        <v>0</v>
      </c>
      <c r="AT32" s="153">
        <f t="shared" si="17"/>
        <v>53234.797303370826</v>
      </c>
      <c r="AU32" s="153">
        <f t="shared" si="18"/>
        <v>0</v>
      </c>
      <c r="AV32" s="153">
        <f t="shared" si="19"/>
        <v>38748.48735632184</v>
      </c>
      <c r="AW32" s="153">
        <f t="shared" si="20"/>
        <v>0</v>
      </c>
      <c r="AX32" s="153">
        <f t="shared" si="21"/>
        <v>0</v>
      </c>
      <c r="AY32" s="153">
        <f t="shared" si="22"/>
        <v>0</v>
      </c>
      <c r="AZ32" s="153">
        <v>140000</v>
      </c>
      <c r="BA32" s="151">
        <v>27750</v>
      </c>
      <c r="BB32" s="151">
        <v>1332</v>
      </c>
      <c r="BC32" s="153"/>
      <c r="BD32" s="153"/>
      <c r="BE32" s="153"/>
      <c r="BF32" s="153">
        <f t="shared" si="23"/>
        <v>921191.04</v>
      </c>
      <c r="BG32" s="153">
        <f t="shared" si="24"/>
        <v>111469.54967828003</v>
      </c>
      <c r="BH32" s="153">
        <f t="shared" si="25"/>
        <v>169082</v>
      </c>
      <c r="BI32" s="153">
        <f t="shared" si="26"/>
        <v>38748.48735632184</v>
      </c>
      <c r="BJ32" s="154">
        <f t="shared" si="27"/>
        <v>1201742.58967828</v>
      </c>
      <c r="BK32" s="154">
        <v>1201742.58967828</v>
      </c>
      <c r="BL32" s="154">
        <v>0</v>
      </c>
      <c r="BM32" s="154">
        <v>1032660.58967828</v>
      </c>
      <c r="BN32" s="154">
        <v>3853.2111555159704</v>
      </c>
      <c r="BO32" s="154">
        <v>3561.7233327137546</v>
      </c>
      <c r="BP32" s="155">
        <v>0.08183898511289613</v>
      </c>
      <c r="BQ32" s="155">
        <v>0</v>
      </c>
      <c r="BR32" s="154">
        <v>0</v>
      </c>
      <c r="BS32" s="156">
        <f t="shared" si="28"/>
        <v>1201742.58967828</v>
      </c>
      <c r="BT32" s="153">
        <v>-586.92</v>
      </c>
      <c r="BU32" s="153">
        <v>-326.96</v>
      </c>
      <c r="BV32" s="157">
        <f t="shared" si="29"/>
        <v>1200828.7096782802</v>
      </c>
      <c r="BW32" s="80"/>
      <c r="BX32" s="208" t="e">
        <f>VLOOKUP(B32,#REF!,22,0)</f>
        <v>#REF!</v>
      </c>
      <c r="BY32" s="211" t="e">
        <f>VLOOKUP(B32,#REF!,11,0)</f>
        <v>#REF!</v>
      </c>
      <c r="BZ32" s="103"/>
      <c r="CA32" s="103"/>
      <c r="CB32" s="127">
        <v>57042</v>
      </c>
      <c r="CD32" s="200">
        <v>21520</v>
      </c>
      <c r="CE32" s="123">
        <v>310</v>
      </c>
      <c r="CF32" s="123">
        <v>11725</v>
      </c>
      <c r="CG32" s="123">
        <v>18309.166666666668</v>
      </c>
      <c r="CH32" s="123">
        <v>106847</v>
      </c>
      <c r="CI32" s="123">
        <v>7490</v>
      </c>
      <c r="CJ32" s="123"/>
      <c r="CK32" s="127"/>
      <c r="CL32" s="2"/>
    </row>
    <row r="33" spans="1:90" ht="14.25">
      <c r="A33" s="185">
        <v>3122040</v>
      </c>
      <c r="B33" s="188">
        <v>2040</v>
      </c>
      <c r="C33" s="102" t="s">
        <v>93</v>
      </c>
      <c r="D33" s="189">
        <v>614</v>
      </c>
      <c r="E33" s="189">
        <v>614</v>
      </c>
      <c r="F33" s="189">
        <v>0</v>
      </c>
      <c r="G33" s="189">
        <v>0</v>
      </c>
      <c r="H33" s="189">
        <v>0</v>
      </c>
      <c r="I33" s="189">
        <v>202.56598240469208</v>
      </c>
      <c r="J33" s="189">
        <v>0</v>
      </c>
      <c r="K33" s="189">
        <v>332.081699346405</v>
      </c>
      <c r="L33" s="189">
        <v>26.084967320261466</v>
      </c>
      <c r="M33" s="189">
        <v>70.22875816993448</v>
      </c>
      <c r="N33" s="189">
        <v>46.150326797385645</v>
      </c>
      <c r="O33" s="189">
        <v>4.0130718954248366</v>
      </c>
      <c r="P33" s="189">
        <v>0</v>
      </c>
      <c r="Q33" s="189">
        <v>0</v>
      </c>
      <c r="R33" s="189">
        <v>0</v>
      </c>
      <c r="S33" s="189">
        <v>0</v>
      </c>
      <c r="T33" s="189">
        <v>0</v>
      </c>
      <c r="U33" s="189">
        <v>0</v>
      </c>
      <c r="V33" s="189">
        <v>0</v>
      </c>
      <c r="W33" s="189">
        <v>289.68796992481236</v>
      </c>
      <c r="X33" s="189">
        <v>0</v>
      </c>
      <c r="Y33" s="189">
        <v>232.75816993464025</v>
      </c>
      <c r="Z33" s="189">
        <v>0</v>
      </c>
      <c r="AA33" s="189">
        <v>21.160000000000018</v>
      </c>
      <c r="AB33" s="189">
        <v>0</v>
      </c>
      <c r="AC33" s="152">
        <f t="shared" si="0"/>
        <v>2110489.92</v>
      </c>
      <c r="AD33" s="152">
        <f t="shared" si="1"/>
        <v>0</v>
      </c>
      <c r="AE33" s="152">
        <f t="shared" si="2"/>
        <v>0</v>
      </c>
      <c r="AF33" s="153">
        <f t="shared" si="3"/>
        <v>208873.8870967742</v>
      </c>
      <c r="AG33" s="153">
        <f t="shared" si="4"/>
        <v>0</v>
      </c>
      <c r="AH33" s="153">
        <f t="shared" si="5"/>
        <v>22382.3065359477</v>
      </c>
      <c r="AI33" s="153">
        <f t="shared" si="6"/>
        <v>3516.253594771246</v>
      </c>
      <c r="AJ33" s="153">
        <f t="shared" si="7"/>
        <v>14200.957189542452</v>
      </c>
      <c r="AK33" s="153">
        <f t="shared" si="8"/>
        <v>12442.589607843145</v>
      </c>
      <c r="AL33" s="153">
        <f t="shared" si="9"/>
        <v>1352.4453594771242</v>
      </c>
      <c r="AM33" s="153">
        <f t="shared" si="10"/>
        <v>0</v>
      </c>
      <c r="AN33" s="153">
        <f t="shared" si="11"/>
        <v>0</v>
      </c>
      <c r="AO33" s="153">
        <f t="shared" si="12"/>
        <v>0</v>
      </c>
      <c r="AP33" s="153">
        <f t="shared" si="13"/>
        <v>0</v>
      </c>
      <c r="AQ33" s="153">
        <f t="shared" si="14"/>
        <v>0</v>
      </c>
      <c r="AR33" s="153">
        <f t="shared" si="15"/>
        <v>0</v>
      </c>
      <c r="AS33" s="153">
        <f t="shared" si="16"/>
        <v>0</v>
      </c>
      <c r="AT33" s="153">
        <f t="shared" si="17"/>
        <v>222665.76120300777</v>
      </c>
      <c r="AU33" s="153">
        <f t="shared" si="18"/>
        <v>0</v>
      </c>
      <c r="AV33" s="153">
        <f t="shared" si="19"/>
        <v>142820.41307189525</v>
      </c>
      <c r="AW33" s="153">
        <f t="shared" si="20"/>
        <v>0</v>
      </c>
      <c r="AX33" s="153">
        <f t="shared" si="21"/>
        <v>17605.120000000014</v>
      </c>
      <c r="AY33" s="153">
        <f t="shared" si="22"/>
        <v>0</v>
      </c>
      <c r="AZ33" s="153">
        <v>140000</v>
      </c>
      <c r="BA33" s="151">
        <v>15800</v>
      </c>
      <c r="BB33" s="151">
        <v>306.06</v>
      </c>
      <c r="BC33" s="153"/>
      <c r="BD33" s="153"/>
      <c r="BE33" s="153"/>
      <c r="BF33" s="153">
        <f t="shared" si="23"/>
        <v>2110489.92</v>
      </c>
      <c r="BG33" s="153">
        <f t="shared" si="24"/>
        <v>645859.7336592589</v>
      </c>
      <c r="BH33" s="153">
        <f t="shared" si="25"/>
        <v>156106.06</v>
      </c>
      <c r="BI33" s="153">
        <f t="shared" si="26"/>
        <v>142820.41307189525</v>
      </c>
      <c r="BJ33" s="154">
        <f t="shared" si="27"/>
        <v>2912455.713659259</v>
      </c>
      <c r="BK33" s="154">
        <v>2912455.713659259</v>
      </c>
      <c r="BL33" s="154">
        <v>0</v>
      </c>
      <c r="BM33" s="154">
        <v>2756349.653659259</v>
      </c>
      <c r="BN33" s="154">
        <v>4489.168817034623</v>
      </c>
      <c r="BO33" s="154">
        <v>4192.07947647929</v>
      </c>
      <c r="BP33" s="155">
        <v>0.07086920518139682</v>
      </c>
      <c r="BQ33" s="155">
        <v>0</v>
      </c>
      <c r="BR33" s="154">
        <v>0</v>
      </c>
      <c r="BS33" s="156">
        <f t="shared" si="28"/>
        <v>2912455.713659259</v>
      </c>
      <c r="BT33" s="153">
        <v>0</v>
      </c>
      <c r="BU33" s="153">
        <v>0</v>
      </c>
      <c r="BV33" s="157">
        <f t="shared" si="29"/>
        <v>2912455.713659259</v>
      </c>
      <c r="BW33" s="80"/>
      <c r="BX33" s="208" t="e">
        <f>VLOOKUP(B33,#REF!,22,0)</f>
        <v>#REF!</v>
      </c>
      <c r="BY33" s="211" t="e">
        <f>VLOOKUP(B33,#REF!,11,0)</f>
        <v>#REF!</v>
      </c>
      <c r="BZ33" s="103"/>
      <c r="CA33" s="103"/>
      <c r="CB33" s="127">
        <v>88600</v>
      </c>
      <c r="CD33" s="200"/>
      <c r="CE33" s="123"/>
      <c r="CF33" s="123"/>
      <c r="CG33" s="123"/>
      <c r="CH33" s="123"/>
      <c r="CI33" s="123"/>
      <c r="CJ33" s="123"/>
      <c r="CK33" s="127"/>
      <c r="CL33" s="2"/>
    </row>
    <row r="34" spans="1:90" ht="14.25">
      <c r="A34" s="185">
        <v>3122045</v>
      </c>
      <c r="B34" s="188">
        <v>2045</v>
      </c>
      <c r="C34" s="102" t="s">
        <v>135</v>
      </c>
      <c r="D34" s="189">
        <v>378</v>
      </c>
      <c r="E34" s="189">
        <v>378</v>
      </c>
      <c r="F34" s="189">
        <v>0</v>
      </c>
      <c r="G34" s="189">
        <v>0</v>
      </c>
      <c r="H34" s="189">
        <v>0</v>
      </c>
      <c r="I34" s="189">
        <v>78.47088607594937</v>
      </c>
      <c r="J34" s="189">
        <v>0</v>
      </c>
      <c r="K34" s="189">
        <v>52.00000000000016</v>
      </c>
      <c r="L34" s="189">
        <v>154.99999999999997</v>
      </c>
      <c r="M34" s="189">
        <v>131.99999999999994</v>
      </c>
      <c r="N34" s="189">
        <v>4.000000000000007</v>
      </c>
      <c r="O34" s="189">
        <v>0</v>
      </c>
      <c r="P34" s="189">
        <v>0</v>
      </c>
      <c r="Q34" s="189">
        <v>0</v>
      </c>
      <c r="R34" s="189">
        <v>0</v>
      </c>
      <c r="S34" s="189">
        <v>0</v>
      </c>
      <c r="T34" s="189">
        <v>0</v>
      </c>
      <c r="U34" s="189">
        <v>0</v>
      </c>
      <c r="V34" s="189">
        <v>0</v>
      </c>
      <c r="W34" s="189">
        <v>138.07185628742505</v>
      </c>
      <c r="X34" s="189">
        <v>0</v>
      </c>
      <c r="Y34" s="189">
        <v>87.51125401929276</v>
      </c>
      <c r="Z34" s="189">
        <v>0</v>
      </c>
      <c r="AA34" s="189">
        <v>12.320000000000004</v>
      </c>
      <c r="AB34" s="189">
        <v>0</v>
      </c>
      <c r="AC34" s="152">
        <f t="shared" si="0"/>
        <v>1299291.84</v>
      </c>
      <c r="AD34" s="152">
        <f t="shared" si="1"/>
        <v>0</v>
      </c>
      <c r="AE34" s="152">
        <f t="shared" si="2"/>
        <v>0</v>
      </c>
      <c r="AF34" s="153">
        <f t="shared" si="3"/>
        <v>80914.46946835444</v>
      </c>
      <c r="AG34" s="153">
        <f t="shared" si="4"/>
        <v>0</v>
      </c>
      <c r="AH34" s="153">
        <f t="shared" si="5"/>
        <v>3504.800000000011</v>
      </c>
      <c r="AI34" s="153">
        <f t="shared" si="6"/>
        <v>20893.999999999996</v>
      </c>
      <c r="AJ34" s="153">
        <f t="shared" si="7"/>
        <v>26691.71999999999</v>
      </c>
      <c r="AK34" s="153">
        <f t="shared" si="8"/>
        <v>1078.4400000000019</v>
      </c>
      <c r="AL34" s="153">
        <f t="shared" si="9"/>
        <v>0</v>
      </c>
      <c r="AM34" s="153">
        <f t="shared" si="10"/>
        <v>0</v>
      </c>
      <c r="AN34" s="153">
        <f t="shared" si="11"/>
        <v>0</v>
      </c>
      <c r="AO34" s="153">
        <f t="shared" si="12"/>
        <v>0</v>
      </c>
      <c r="AP34" s="153">
        <f t="shared" si="13"/>
        <v>0</v>
      </c>
      <c r="AQ34" s="153">
        <f t="shared" si="14"/>
        <v>0</v>
      </c>
      <c r="AR34" s="153">
        <f t="shared" si="15"/>
        <v>0</v>
      </c>
      <c r="AS34" s="153">
        <f t="shared" si="16"/>
        <v>0</v>
      </c>
      <c r="AT34" s="153">
        <f t="shared" si="17"/>
        <v>106127.55161676639</v>
      </c>
      <c r="AU34" s="153">
        <f t="shared" si="18"/>
        <v>0</v>
      </c>
      <c r="AV34" s="153">
        <f t="shared" si="19"/>
        <v>53696.905466238044</v>
      </c>
      <c r="AW34" s="153">
        <f t="shared" si="20"/>
        <v>0</v>
      </c>
      <c r="AX34" s="153">
        <f t="shared" si="21"/>
        <v>10250.240000000003</v>
      </c>
      <c r="AY34" s="153">
        <f t="shared" si="22"/>
        <v>0</v>
      </c>
      <c r="AZ34" s="153">
        <v>140000</v>
      </c>
      <c r="BA34" s="151">
        <v>0</v>
      </c>
      <c r="BB34" s="151">
        <v>0</v>
      </c>
      <c r="BC34" s="153"/>
      <c r="BD34" s="153"/>
      <c r="BE34" s="153"/>
      <c r="BF34" s="153">
        <f t="shared" si="23"/>
        <v>1299291.84</v>
      </c>
      <c r="BG34" s="153">
        <f t="shared" si="24"/>
        <v>303158.12655135884</v>
      </c>
      <c r="BH34" s="153">
        <f t="shared" si="25"/>
        <v>140000</v>
      </c>
      <c r="BI34" s="153">
        <f t="shared" si="26"/>
        <v>53696.905466238044</v>
      </c>
      <c r="BJ34" s="154">
        <f t="shared" si="27"/>
        <v>1742449.9665513588</v>
      </c>
      <c r="BK34" s="154">
        <v>1742449.966551359</v>
      </c>
      <c r="BL34" s="154">
        <v>0</v>
      </c>
      <c r="BM34" s="154">
        <v>1602449.9665513588</v>
      </c>
      <c r="BN34" s="154">
        <v>4239.285625797245</v>
      </c>
      <c r="BO34" s="154">
        <v>4036.4821638020835</v>
      </c>
      <c r="BP34" s="155">
        <v>0.05024262557477403</v>
      </c>
      <c r="BQ34" s="155">
        <v>0</v>
      </c>
      <c r="BR34" s="154">
        <v>0</v>
      </c>
      <c r="BS34" s="156">
        <f t="shared" si="28"/>
        <v>1742449.9665513588</v>
      </c>
      <c r="BT34" s="153">
        <v>0</v>
      </c>
      <c r="BU34" s="153">
        <v>0</v>
      </c>
      <c r="BV34" s="157">
        <f t="shared" si="29"/>
        <v>1742449.9665513588</v>
      </c>
      <c r="BW34" s="80"/>
      <c r="BX34" s="208" t="e">
        <f>VLOOKUP(B34,#REF!,22,0)</f>
        <v>#REF!</v>
      </c>
      <c r="BY34" s="211"/>
      <c r="BZ34" s="103"/>
      <c r="CA34" s="103"/>
      <c r="CB34" s="127">
        <v>17000</v>
      </c>
      <c r="CD34" s="200"/>
      <c r="CE34" s="123"/>
      <c r="CF34" s="123"/>
      <c r="CG34" s="123"/>
      <c r="CH34" s="123"/>
      <c r="CI34" s="123"/>
      <c r="CJ34" s="123"/>
      <c r="CK34" s="127"/>
      <c r="CL34" s="2"/>
    </row>
    <row r="35" spans="1:90" ht="14.25">
      <c r="A35" s="185">
        <v>3122048</v>
      </c>
      <c r="B35" s="188">
        <v>2048</v>
      </c>
      <c r="C35" s="102" t="s">
        <v>15</v>
      </c>
      <c r="D35" s="189">
        <v>369</v>
      </c>
      <c r="E35" s="189">
        <v>369</v>
      </c>
      <c r="F35" s="189">
        <v>0</v>
      </c>
      <c r="G35" s="189">
        <v>0</v>
      </c>
      <c r="H35" s="189">
        <v>0</v>
      </c>
      <c r="I35" s="189">
        <v>96.43199999999999</v>
      </c>
      <c r="J35" s="189">
        <v>0</v>
      </c>
      <c r="K35" s="189">
        <v>116.31521739130442</v>
      </c>
      <c r="L35" s="189">
        <v>33.08967391304349</v>
      </c>
      <c r="M35" s="189">
        <v>17.046195652173896</v>
      </c>
      <c r="N35" s="189">
        <v>6.016304347826104</v>
      </c>
      <c r="O35" s="189">
        <v>1.0027173913043492</v>
      </c>
      <c r="P35" s="189">
        <v>0</v>
      </c>
      <c r="Q35" s="189">
        <v>0</v>
      </c>
      <c r="R35" s="189">
        <v>0</v>
      </c>
      <c r="S35" s="189">
        <v>0</v>
      </c>
      <c r="T35" s="189">
        <v>0</v>
      </c>
      <c r="U35" s="189">
        <v>0</v>
      </c>
      <c r="V35" s="189">
        <v>0</v>
      </c>
      <c r="W35" s="189">
        <v>74.71962616822421</v>
      </c>
      <c r="X35" s="189">
        <v>0</v>
      </c>
      <c r="Y35" s="189">
        <v>98.74647887323947</v>
      </c>
      <c r="Z35" s="189">
        <v>0</v>
      </c>
      <c r="AA35" s="189">
        <v>8.944239130434777</v>
      </c>
      <c r="AB35" s="189">
        <v>0</v>
      </c>
      <c r="AC35" s="152">
        <f t="shared" si="0"/>
        <v>1268356.32</v>
      </c>
      <c r="AD35" s="152">
        <f t="shared" si="1"/>
        <v>0</v>
      </c>
      <c r="AE35" s="152">
        <f t="shared" si="2"/>
        <v>0</v>
      </c>
      <c r="AF35" s="153">
        <f t="shared" si="3"/>
        <v>99434.89248</v>
      </c>
      <c r="AG35" s="153">
        <f t="shared" si="4"/>
        <v>0</v>
      </c>
      <c r="AH35" s="153">
        <f t="shared" si="5"/>
        <v>7839.645652173918</v>
      </c>
      <c r="AI35" s="153">
        <f t="shared" si="6"/>
        <v>4460.488043478263</v>
      </c>
      <c r="AJ35" s="153">
        <f t="shared" si="7"/>
        <v>3446.9112228260838</v>
      </c>
      <c r="AK35" s="153">
        <f t="shared" si="8"/>
        <v>1622.055815217396</v>
      </c>
      <c r="AL35" s="153">
        <f t="shared" si="9"/>
        <v>337.92578804347875</v>
      </c>
      <c r="AM35" s="153">
        <f t="shared" si="10"/>
        <v>0</v>
      </c>
      <c r="AN35" s="153">
        <f t="shared" si="11"/>
        <v>0</v>
      </c>
      <c r="AO35" s="153">
        <f t="shared" si="12"/>
        <v>0</v>
      </c>
      <c r="AP35" s="153">
        <f t="shared" si="13"/>
        <v>0</v>
      </c>
      <c r="AQ35" s="153">
        <f t="shared" si="14"/>
        <v>0</v>
      </c>
      <c r="AR35" s="153">
        <f t="shared" si="15"/>
        <v>0</v>
      </c>
      <c r="AS35" s="153">
        <f t="shared" si="16"/>
        <v>0</v>
      </c>
      <c r="AT35" s="153">
        <f t="shared" si="17"/>
        <v>57432.493457943856</v>
      </c>
      <c r="AU35" s="153">
        <f t="shared" si="18"/>
        <v>0</v>
      </c>
      <c r="AV35" s="153">
        <f t="shared" si="19"/>
        <v>60590.83943661974</v>
      </c>
      <c r="AW35" s="153">
        <f t="shared" si="20"/>
        <v>0</v>
      </c>
      <c r="AX35" s="153">
        <f t="shared" si="21"/>
        <v>7441.606956521735</v>
      </c>
      <c r="AY35" s="153">
        <f t="shared" si="22"/>
        <v>0</v>
      </c>
      <c r="AZ35" s="153">
        <v>140000</v>
      </c>
      <c r="BA35" s="151">
        <v>14700</v>
      </c>
      <c r="BB35" s="151">
        <v>22.25</v>
      </c>
      <c r="BC35" s="153"/>
      <c r="BD35" s="153"/>
      <c r="BE35" s="153"/>
      <c r="BF35" s="153">
        <f t="shared" si="23"/>
        <v>1268356.32</v>
      </c>
      <c r="BG35" s="153">
        <f t="shared" si="24"/>
        <v>242606.85885282446</v>
      </c>
      <c r="BH35" s="153">
        <f t="shared" si="25"/>
        <v>154722.25</v>
      </c>
      <c r="BI35" s="153">
        <f t="shared" si="26"/>
        <v>60590.83943661974</v>
      </c>
      <c r="BJ35" s="154">
        <f t="shared" si="27"/>
        <v>1665685.4288528245</v>
      </c>
      <c r="BK35" s="154">
        <v>1665685.4288528245</v>
      </c>
      <c r="BL35" s="154">
        <v>0</v>
      </c>
      <c r="BM35" s="154">
        <v>1510963.1788528245</v>
      </c>
      <c r="BN35" s="154">
        <v>4094.7511622027764</v>
      </c>
      <c r="BO35" s="154">
        <v>3806.8901994652406</v>
      </c>
      <c r="BP35" s="155">
        <v>0.07561577761763974</v>
      </c>
      <c r="BQ35" s="155">
        <v>0</v>
      </c>
      <c r="BR35" s="154">
        <v>0</v>
      </c>
      <c r="BS35" s="156">
        <f t="shared" si="28"/>
        <v>1665685.4288528245</v>
      </c>
      <c r="BT35" s="153">
        <v>0</v>
      </c>
      <c r="BU35" s="153">
        <v>0</v>
      </c>
      <c r="BV35" s="157">
        <f t="shared" si="29"/>
        <v>1665685.4288528245</v>
      </c>
      <c r="BW35" s="80"/>
      <c r="BX35" s="208" t="e">
        <f>VLOOKUP(B35,#REF!,22,0)</f>
        <v>#REF!</v>
      </c>
      <c r="BY35" s="211" t="e">
        <f>VLOOKUP(B35,#REF!,11,0)</f>
        <v>#REF!</v>
      </c>
      <c r="BZ35" s="103"/>
      <c r="CA35" s="103"/>
      <c r="CB35" s="127">
        <v>13700</v>
      </c>
      <c r="CD35" s="200"/>
      <c r="CE35" s="123"/>
      <c r="CF35" s="123"/>
      <c r="CG35" s="123"/>
      <c r="CH35" s="123"/>
      <c r="CI35" s="123"/>
      <c r="CJ35" s="123"/>
      <c r="CK35" s="127"/>
      <c r="CL35" s="2"/>
    </row>
    <row r="36" spans="1:90" ht="14.25">
      <c r="A36" s="185">
        <v>3122049</v>
      </c>
      <c r="B36" s="188">
        <v>2049</v>
      </c>
      <c r="C36" s="122" t="s">
        <v>190</v>
      </c>
      <c r="D36" s="189">
        <v>567</v>
      </c>
      <c r="E36" s="189">
        <v>567</v>
      </c>
      <c r="F36" s="189">
        <v>0</v>
      </c>
      <c r="G36" s="189">
        <v>0</v>
      </c>
      <c r="H36" s="189">
        <v>0</v>
      </c>
      <c r="I36" s="189">
        <v>89.47155963302752</v>
      </c>
      <c r="J36" s="189">
        <v>0</v>
      </c>
      <c r="K36" s="189">
        <v>210.99999999999974</v>
      </c>
      <c r="L36" s="189">
        <v>172.00000000000017</v>
      </c>
      <c r="M36" s="189">
        <v>15.000000000000025</v>
      </c>
      <c r="N36" s="189">
        <v>14.000000000000023</v>
      </c>
      <c r="O36" s="189">
        <v>4.9999999999999964</v>
      </c>
      <c r="P36" s="189">
        <v>0</v>
      </c>
      <c r="Q36" s="189">
        <v>0</v>
      </c>
      <c r="R36" s="189">
        <v>0</v>
      </c>
      <c r="S36" s="189">
        <v>0</v>
      </c>
      <c r="T36" s="189">
        <v>0</v>
      </c>
      <c r="U36" s="189">
        <v>0</v>
      </c>
      <c r="V36" s="189">
        <v>0</v>
      </c>
      <c r="W36" s="189">
        <v>238.79875518672196</v>
      </c>
      <c r="X36" s="189">
        <v>0</v>
      </c>
      <c r="Y36" s="189">
        <v>249.86440677966107</v>
      </c>
      <c r="Z36" s="189">
        <v>0</v>
      </c>
      <c r="AA36" s="189">
        <v>26.980000000000047</v>
      </c>
      <c r="AB36" s="189">
        <v>0</v>
      </c>
      <c r="AC36" s="152">
        <f t="shared" si="0"/>
        <v>1948937.76</v>
      </c>
      <c r="AD36" s="152">
        <f t="shared" si="1"/>
        <v>0</v>
      </c>
      <c r="AE36" s="152">
        <f t="shared" si="2"/>
        <v>0</v>
      </c>
      <c r="AF36" s="153">
        <f t="shared" si="3"/>
        <v>92257.70400000001</v>
      </c>
      <c r="AG36" s="153">
        <f t="shared" si="4"/>
        <v>0</v>
      </c>
      <c r="AH36" s="153">
        <f t="shared" si="5"/>
        <v>14221.399999999983</v>
      </c>
      <c r="AI36" s="153">
        <f t="shared" si="6"/>
        <v>23185.600000000024</v>
      </c>
      <c r="AJ36" s="153">
        <f t="shared" si="7"/>
        <v>3033.150000000005</v>
      </c>
      <c r="AK36" s="153">
        <f t="shared" si="8"/>
        <v>3774.5400000000063</v>
      </c>
      <c r="AL36" s="153">
        <f t="shared" si="9"/>
        <v>1685.0499999999988</v>
      </c>
      <c r="AM36" s="153">
        <f t="shared" si="10"/>
        <v>0</v>
      </c>
      <c r="AN36" s="153">
        <f t="shared" si="11"/>
        <v>0</v>
      </c>
      <c r="AO36" s="153">
        <f t="shared" si="12"/>
        <v>0</v>
      </c>
      <c r="AP36" s="153">
        <f t="shared" si="13"/>
        <v>0</v>
      </c>
      <c r="AQ36" s="153">
        <f t="shared" si="14"/>
        <v>0</v>
      </c>
      <c r="AR36" s="153">
        <f t="shared" si="15"/>
        <v>0</v>
      </c>
      <c r="AS36" s="153">
        <f t="shared" si="16"/>
        <v>0</v>
      </c>
      <c r="AT36" s="153">
        <f t="shared" si="17"/>
        <v>183550.27518672196</v>
      </c>
      <c r="AU36" s="153">
        <f t="shared" si="18"/>
        <v>0</v>
      </c>
      <c r="AV36" s="153">
        <f t="shared" si="19"/>
        <v>153316.80000000005</v>
      </c>
      <c r="AW36" s="153">
        <f t="shared" si="20"/>
        <v>0</v>
      </c>
      <c r="AX36" s="153">
        <f t="shared" si="21"/>
        <v>22447.360000000037</v>
      </c>
      <c r="AY36" s="153">
        <f t="shared" si="22"/>
        <v>0</v>
      </c>
      <c r="AZ36" s="153">
        <v>140000</v>
      </c>
      <c r="BA36" s="151">
        <v>9504</v>
      </c>
      <c r="BB36" s="151">
        <v>-2317.7</v>
      </c>
      <c r="BC36" s="153"/>
      <c r="BD36" s="153"/>
      <c r="BE36" s="153"/>
      <c r="BF36" s="153">
        <f t="shared" si="23"/>
        <v>1948937.76</v>
      </c>
      <c r="BG36" s="153">
        <f t="shared" si="24"/>
        <v>497471.87918672204</v>
      </c>
      <c r="BH36" s="153">
        <f t="shared" si="25"/>
        <v>147186.3</v>
      </c>
      <c r="BI36" s="153">
        <f t="shared" si="26"/>
        <v>153316.80000000005</v>
      </c>
      <c r="BJ36" s="154">
        <f t="shared" si="27"/>
        <v>2593595.939186722</v>
      </c>
      <c r="BK36" s="154">
        <v>2593595.9391867216</v>
      </c>
      <c r="BL36" s="154">
        <v>0</v>
      </c>
      <c r="BM36" s="154">
        <v>2446409.639186722</v>
      </c>
      <c r="BN36" s="154">
        <v>4314.655448301098</v>
      </c>
      <c r="BO36" s="154">
        <v>4086.82138992674</v>
      </c>
      <c r="BP36" s="155">
        <v>0.05574847458123001</v>
      </c>
      <c r="BQ36" s="155">
        <v>0</v>
      </c>
      <c r="BR36" s="154">
        <v>0</v>
      </c>
      <c r="BS36" s="156">
        <f t="shared" si="28"/>
        <v>2593595.939186722</v>
      </c>
      <c r="BT36" s="153">
        <v>0</v>
      </c>
      <c r="BU36" s="153">
        <v>0</v>
      </c>
      <c r="BV36" s="157">
        <f t="shared" si="29"/>
        <v>2593595.939186722</v>
      </c>
      <c r="BW36" s="80"/>
      <c r="BX36" s="208" t="e">
        <f>VLOOKUP(B36,#REF!,22,0)</f>
        <v>#REF!</v>
      </c>
      <c r="BY36" s="211" t="e">
        <f>VLOOKUP(B36,#REF!,11,0)</f>
        <v>#REF!</v>
      </c>
      <c r="BZ36" s="103"/>
      <c r="CA36" s="103"/>
      <c r="CB36" s="127">
        <v>52302</v>
      </c>
      <c r="CD36" s="200"/>
      <c r="CE36" s="123"/>
      <c r="CF36" s="123"/>
      <c r="CG36" s="123"/>
      <c r="CH36" s="123"/>
      <c r="CI36" s="123"/>
      <c r="CJ36" s="123"/>
      <c r="CK36" s="127"/>
      <c r="CL36" s="2"/>
    </row>
    <row r="37" spans="1:90" ht="14.25">
      <c r="A37" s="185">
        <v>3122051</v>
      </c>
      <c r="B37" s="188">
        <v>2051</v>
      </c>
      <c r="C37" s="122" t="s">
        <v>191</v>
      </c>
      <c r="D37" s="189">
        <v>601</v>
      </c>
      <c r="E37" s="189">
        <v>601</v>
      </c>
      <c r="F37" s="189">
        <v>0</v>
      </c>
      <c r="G37" s="189">
        <v>0</v>
      </c>
      <c r="H37" s="189">
        <v>0</v>
      </c>
      <c r="I37" s="189">
        <v>127.13461538461539</v>
      </c>
      <c r="J37" s="189">
        <v>0</v>
      </c>
      <c r="K37" s="189">
        <v>145.97152428810742</v>
      </c>
      <c r="L37" s="189">
        <v>123.82412060301516</v>
      </c>
      <c r="M37" s="189">
        <v>23.154103852596297</v>
      </c>
      <c r="N37" s="189">
        <v>245.63484087102185</v>
      </c>
      <c r="O37" s="189">
        <v>4.026800670016748</v>
      </c>
      <c r="P37" s="189">
        <v>0</v>
      </c>
      <c r="Q37" s="189">
        <v>0</v>
      </c>
      <c r="R37" s="189">
        <v>0</v>
      </c>
      <c r="S37" s="189">
        <v>0</v>
      </c>
      <c r="T37" s="189">
        <v>0</v>
      </c>
      <c r="U37" s="189">
        <v>0</v>
      </c>
      <c r="V37" s="189">
        <v>0</v>
      </c>
      <c r="W37" s="189">
        <v>258.4181459566073</v>
      </c>
      <c r="X37" s="189">
        <v>0</v>
      </c>
      <c r="Y37" s="189">
        <v>217.1013215859028</v>
      </c>
      <c r="Z37" s="189">
        <v>0</v>
      </c>
      <c r="AA37" s="189">
        <v>22.940000000000023</v>
      </c>
      <c r="AB37" s="189">
        <v>0</v>
      </c>
      <c r="AC37" s="152">
        <f t="shared" si="0"/>
        <v>2065805.28</v>
      </c>
      <c r="AD37" s="152">
        <f t="shared" si="1"/>
        <v>0</v>
      </c>
      <c r="AE37" s="152">
        <f t="shared" si="2"/>
        <v>0</v>
      </c>
      <c r="AF37" s="153">
        <f t="shared" si="3"/>
        <v>131093.58730769233</v>
      </c>
      <c r="AG37" s="153">
        <f t="shared" si="4"/>
        <v>0</v>
      </c>
      <c r="AH37" s="153">
        <f t="shared" si="5"/>
        <v>9838.48073701844</v>
      </c>
      <c r="AI37" s="153">
        <f t="shared" si="6"/>
        <v>16691.491457286444</v>
      </c>
      <c r="AJ37" s="153">
        <f t="shared" si="7"/>
        <v>4681.991340033497</v>
      </c>
      <c r="AK37" s="153">
        <f t="shared" si="8"/>
        <v>66225.6094472362</v>
      </c>
      <c r="AL37" s="153">
        <f t="shared" si="9"/>
        <v>1357.0720938023442</v>
      </c>
      <c r="AM37" s="153">
        <f t="shared" si="10"/>
        <v>0</v>
      </c>
      <c r="AN37" s="153">
        <f t="shared" si="11"/>
        <v>0</v>
      </c>
      <c r="AO37" s="153">
        <f t="shared" si="12"/>
        <v>0</v>
      </c>
      <c r="AP37" s="153">
        <f t="shared" si="13"/>
        <v>0</v>
      </c>
      <c r="AQ37" s="153">
        <f t="shared" si="14"/>
        <v>0</v>
      </c>
      <c r="AR37" s="153">
        <f t="shared" si="15"/>
        <v>0</v>
      </c>
      <c r="AS37" s="153">
        <f t="shared" si="16"/>
        <v>0</v>
      </c>
      <c r="AT37" s="153">
        <f t="shared" si="17"/>
        <v>198630.52370808664</v>
      </c>
      <c r="AU37" s="153">
        <f t="shared" si="18"/>
        <v>0</v>
      </c>
      <c r="AV37" s="153">
        <f t="shared" si="19"/>
        <v>133213.37092510998</v>
      </c>
      <c r="AW37" s="153">
        <f t="shared" si="20"/>
        <v>0</v>
      </c>
      <c r="AX37" s="153">
        <f t="shared" si="21"/>
        <v>19086.08000000002</v>
      </c>
      <c r="AY37" s="153">
        <f t="shared" si="22"/>
        <v>0</v>
      </c>
      <c r="AZ37" s="153">
        <v>140000</v>
      </c>
      <c r="BA37" s="151">
        <v>11600</v>
      </c>
      <c r="BB37" s="151">
        <v>556.8</v>
      </c>
      <c r="BC37" s="153"/>
      <c r="BD37" s="153"/>
      <c r="BE37" s="153"/>
      <c r="BF37" s="153">
        <f t="shared" si="23"/>
        <v>2065805.28</v>
      </c>
      <c r="BG37" s="153">
        <f t="shared" si="24"/>
        <v>580818.207016266</v>
      </c>
      <c r="BH37" s="153">
        <f t="shared" si="25"/>
        <v>152156.8</v>
      </c>
      <c r="BI37" s="153">
        <f t="shared" si="26"/>
        <v>133213.37092510998</v>
      </c>
      <c r="BJ37" s="154">
        <f t="shared" si="27"/>
        <v>2798780.287016266</v>
      </c>
      <c r="BK37" s="154">
        <v>2798780.2870162656</v>
      </c>
      <c r="BL37" s="154">
        <v>0</v>
      </c>
      <c r="BM37" s="154">
        <v>2646623.487016266</v>
      </c>
      <c r="BN37" s="154">
        <v>4403.699645617748</v>
      </c>
      <c r="BO37" s="154">
        <v>4187.106566549913</v>
      </c>
      <c r="BP37" s="155">
        <v>0.051728580494740786</v>
      </c>
      <c r="BQ37" s="155">
        <v>0</v>
      </c>
      <c r="BR37" s="154">
        <v>0</v>
      </c>
      <c r="BS37" s="156">
        <f t="shared" si="28"/>
        <v>2798780.287016266</v>
      </c>
      <c r="BT37" s="153">
        <v>0</v>
      </c>
      <c r="BU37" s="153">
        <v>0</v>
      </c>
      <c r="BV37" s="157">
        <f t="shared" si="29"/>
        <v>2798780.287016266</v>
      </c>
      <c r="BW37" s="80"/>
      <c r="BX37" s="208" t="e">
        <f>VLOOKUP(B37,#REF!,22,0)</f>
        <v>#REF!</v>
      </c>
      <c r="BY37" s="211"/>
      <c r="BZ37" s="125">
        <v>68520</v>
      </c>
      <c r="CA37" s="125">
        <v>45249</v>
      </c>
      <c r="CB37" s="127">
        <v>87292</v>
      </c>
      <c r="CD37" s="200"/>
      <c r="CE37" s="123"/>
      <c r="CF37" s="123"/>
      <c r="CG37" s="123"/>
      <c r="CH37" s="123"/>
      <c r="CI37" s="123"/>
      <c r="CJ37" s="123"/>
      <c r="CK37" s="127"/>
      <c r="CL37" s="2"/>
    </row>
    <row r="38" spans="1:90" ht="14.25">
      <c r="A38" s="185">
        <v>3122052</v>
      </c>
      <c r="B38" s="188">
        <v>2052</v>
      </c>
      <c r="C38" s="102" t="s">
        <v>16</v>
      </c>
      <c r="D38" s="189">
        <v>405</v>
      </c>
      <c r="E38" s="189">
        <v>405</v>
      </c>
      <c r="F38" s="189">
        <v>0</v>
      </c>
      <c r="G38" s="189">
        <v>0</v>
      </c>
      <c r="H38" s="189">
        <v>0</v>
      </c>
      <c r="I38" s="189">
        <v>118.16708229426433</v>
      </c>
      <c r="J38" s="189">
        <v>0</v>
      </c>
      <c r="K38" s="189">
        <v>66.99999999999996</v>
      </c>
      <c r="L38" s="189">
        <v>164.99999999999983</v>
      </c>
      <c r="M38" s="189">
        <v>54.99999999999981</v>
      </c>
      <c r="N38" s="189">
        <v>8.000000000000005</v>
      </c>
      <c r="O38" s="189">
        <v>3.9999999999999987</v>
      </c>
      <c r="P38" s="189">
        <v>1.0000000000000018</v>
      </c>
      <c r="Q38" s="189">
        <v>0</v>
      </c>
      <c r="R38" s="189">
        <v>0</v>
      </c>
      <c r="S38" s="189">
        <v>0</v>
      </c>
      <c r="T38" s="189">
        <v>0</v>
      </c>
      <c r="U38" s="189">
        <v>0</v>
      </c>
      <c r="V38" s="189">
        <v>0</v>
      </c>
      <c r="W38" s="189">
        <v>92.22772277227735</v>
      </c>
      <c r="X38" s="189">
        <v>0</v>
      </c>
      <c r="Y38" s="189">
        <v>186.83035714285722</v>
      </c>
      <c r="Z38" s="189">
        <v>0</v>
      </c>
      <c r="AA38" s="189">
        <v>9.699999999999996</v>
      </c>
      <c r="AB38" s="189">
        <v>0</v>
      </c>
      <c r="AC38" s="152">
        <f t="shared" si="0"/>
        <v>1392098.4000000001</v>
      </c>
      <c r="AD38" s="152">
        <f t="shared" si="1"/>
        <v>0</v>
      </c>
      <c r="AE38" s="152">
        <f t="shared" si="2"/>
        <v>0</v>
      </c>
      <c r="AF38" s="153">
        <f t="shared" si="3"/>
        <v>121846.80523690773</v>
      </c>
      <c r="AG38" s="153">
        <f t="shared" si="4"/>
        <v>0</v>
      </c>
      <c r="AH38" s="153">
        <f t="shared" si="5"/>
        <v>4515.799999999997</v>
      </c>
      <c r="AI38" s="153">
        <f t="shared" si="6"/>
        <v>22241.999999999978</v>
      </c>
      <c r="AJ38" s="153">
        <f t="shared" si="7"/>
        <v>11121.549999999961</v>
      </c>
      <c r="AK38" s="153">
        <f t="shared" si="8"/>
        <v>2156.8800000000015</v>
      </c>
      <c r="AL38" s="153">
        <f t="shared" si="9"/>
        <v>1348.0399999999995</v>
      </c>
      <c r="AM38" s="153">
        <f t="shared" si="10"/>
        <v>404.41000000000076</v>
      </c>
      <c r="AN38" s="153">
        <f t="shared" si="11"/>
        <v>0</v>
      </c>
      <c r="AO38" s="153">
        <f t="shared" si="12"/>
        <v>0</v>
      </c>
      <c r="AP38" s="153">
        <f t="shared" si="13"/>
        <v>0</v>
      </c>
      <c r="AQ38" s="153">
        <f t="shared" si="14"/>
        <v>0</v>
      </c>
      <c r="AR38" s="153">
        <f t="shared" si="15"/>
        <v>0</v>
      </c>
      <c r="AS38" s="153">
        <f t="shared" si="16"/>
        <v>0</v>
      </c>
      <c r="AT38" s="153">
        <f t="shared" si="17"/>
        <v>70889.91683168325</v>
      </c>
      <c r="AU38" s="153">
        <f t="shared" si="18"/>
        <v>0</v>
      </c>
      <c r="AV38" s="153">
        <f t="shared" si="19"/>
        <v>114639.1071428572</v>
      </c>
      <c r="AW38" s="153">
        <f t="shared" si="20"/>
        <v>0</v>
      </c>
      <c r="AX38" s="153">
        <f t="shared" si="21"/>
        <v>8070.399999999996</v>
      </c>
      <c r="AY38" s="153">
        <f t="shared" si="22"/>
        <v>0</v>
      </c>
      <c r="AZ38" s="153">
        <v>140000</v>
      </c>
      <c r="BA38" s="151">
        <v>41250</v>
      </c>
      <c r="BB38" s="151">
        <v>1486.03</v>
      </c>
      <c r="BC38" s="153"/>
      <c r="BD38" s="153"/>
      <c r="BE38" s="153"/>
      <c r="BF38" s="153">
        <f t="shared" si="23"/>
        <v>1392098.4000000001</v>
      </c>
      <c r="BG38" s="153">
        <f t="shared" si="24"/>
        <v>357234.90921144816</v>
      </c>
      <c r="BH38" s="153">
        <f t="shared" si="25"/>
        <v>182736.03</v>
      </c>
      <c r="BI38" s="153">
        <f t="shared" si="26"/>
        <v>114639.1071428572</v>
      </c>
      <c r="BJ38" s="154">
        <f t="shared" si="27"/>
        <v>1932069.3392114483</v>
      </c>
      <c r="BK38" s="154">
        <v>1932069.3392114483</v>
      </c>
      <c r="BL38" s="154">
        <v>0</v>
      </c>
      <c r="BM38" s="154">
        <v>1749333.3092114483</v>
      </c>
      <c r="BN38" s="154">
        <v>4319.341504225798</v>
      </c>
      <c r="BO38" s="154">
        <v>4068.688478765432</v>
      </c>
      <c r="BP38" s="155">
        <v>0.06160536172000622</v>
      </c>
      <c r="BQ38" s="155">
        <v>0</v>
      </c>
      <c r="BR38" s="154">
        <v>0</v>
      </c>
      <c r="BS38" s="156">
        <f t="shared" si="28"/>
        <v>1932069.3392114483</v>
      </c>
      <c r="BT38" s="153">
        <v>-886.9499999999999</v>
      </c>
      <c r="BU38" s="153">
        <v>-494.09999999999997</v>
      </c>
      <c r="BV38" s="157">
        <f t="shared" si="29"/>
        <v>1930688.2892114483</v>
      </c>
      <c r="BW38" s="80"/>
      <c r="BX38" s="208"/>
      <c r="BY38" s="211"/>
      <c r="BZ38" s="103"/>
      <c r="CA38" s="103"/>
      <c r="CB38" s="127">
        <v>68426</v>
      </c>
      <c r="CD38" s="200">
        <v>157365</v>
      </c>
      <c r="CE38" s="123">
        <v>1860</v>
      </c>
      <c r="CF38" s="123"/>
      <c r="CG38" s="123">
        <v>20033.333333333332</v>
      </c>
      <c r="CH38" s="123"/>
      <c r="CI38" s="123">
        <v>8534</v>
      </c>
      <c r="CJ38" s="123"/>
      <c r="CK38" s="127"/>
      <c r="CL38" s="2"/>
    </row>
    <row r="39" spans="1:90" ht="14.25">
      <c r="A39" s="185">
        <v>3122054</v>
      </c>
      <c r="B39" s="188">
        <v>2054</v>
      </c>
      <c r="C39" s="102" t="s">
        <v>17</v>
      </c>
      <c r="D39" s="189">
        <v>357</v>
      </c>
      <c r="E39" s="189">
        <v>357</v>
      </c>
      <c r="F39" s="189">
        <v>0</v>
      </c>
      <c r="G39" s="189">
        <v>0</v>
      </c>
      <c r="H39" s="189">
        <v>0</v>
      </c>
      <c r="I39" s="189">
        <v>30.913407821229054</v>
      </c>
      <c r="J39" s="189">
        <v>0</v>
      </c>
      <c r="K39" s="189">
        <v>74.99999999999986</v>
      </c>
      <c r="L39" s="189">
        <v>11.000000000000004</v>
      </c>
      <c r="M39" s="189">
        <v>0.9999999999999993</v>
      </c>
      <c r="N39" s="189">
        <v>0</v>
      </c>
      <c r="O39" s="189">
        <v>0</v>
      </c>
      <c r="P39" s="189">
        <v>0</v>
      </c>
      <c r="Q39" s="189">
        <v>0</v>
      </c>
      <c r="R39" s="189">
        <v>0</v>
      </c>
      <c r="S39" s="189">
        <v>0</v>
      </c>
      <c r="T39" s="189">
        <v>0</v>
      </c>
      <c r="U39" s="189">
        <v>0</v>
      </c>
      <c r="V39" s="189">
        <v>0</v>
      </c>
      <c r="W39" s="189">
        <v>17.047752808988747</v>
      </c>
      <c r="X39" s="189">
        <v>0</v>
      </c>
      <c r="Y39" s="189">
        <v>75.47999999999985</v>
      </c>
      <c r="Z39" s="189">
        <v>0</v>
      </c>
      <c r="AA39" s="189">
        <v>0</v>
      </c>
      <c r="AB39" s="189">
        <v>0</v>
      </c>
      <c r="AC39" s="152">
        <f t="shared" si="0"/>
        <v>1227108.96</v>
      </c>
      <c r="AD39" s="152">
        <f t="shared" si="1"/>
        <v>0</v>
      </c>
      <c r="AE39" s="152">
        <f t="shared" si="2"/>
        <v>0</v>
      </c>
      <c r="AF39" s="153">
        <f t="shared" si="3"/>
        <v>31876.05134078213</v>
      </c>
      <c r="AG39" s="153">
        <f t="shared" si="4"/>
        <v>0</v>
      </c>
      <c r="AH39" s="153">
        <f t="shared" si="5"/>
        <v>5054.999999999991</v>
      </c>
      <c r="AI39" s="153">
        <f t="shared" si="6"/>
        <v>1482.8000000000006</v>
      </c>
      <c r="AJ39" s="153">
        <f t="shared" si="7"/>
        <v>202.20999999999987</v>
      </c>
      <c r="AK39" s="153">
        <f t="shared" si="8"/>
        <v>0</v>
      </c>
      <c r="AL39" s="153">
        <f t="shared" si="9"/>
        <v>0</v>
      </c>
      <c r="AM39" s="153">
        <f t="shared" si="10"/>
        <v>0</v>
      </c>
      <c r="AN39" s="153">
        <f t="shared" si="11"/>
        <v>0</v>
      </c>
      <c r="AO39" s="153">
        <f t="shared" si="12"/>
        <v>0</v>
      </c>
      <c r="AP39" s="153">
        <f t="shared" si="13"/>
        <v>0</v>
      </c>
      <c r="AQ39" s="153">
        <f t="shared" si="14"/>
        <v>0</v>
      </c>
      <c r="AR39" s="153">
        <f t="shared" si="15"/>
        <v>0</v>
      </c>
      <c r="AS39" s="153">
        <f t="shared" si="16"/>
        <v>0</v>
      </c>
      <c r="AT39" s="153">
        <f t="shared" si="17"/>
        <v>13103.58471910111</v>
      </c>
      <c r="AU39" s="153">
        <f t="shared" si="18"/>
        <v>0</v>
      </c>
      <c r="AV39" s="153">
        <f t="shared" si="19"/>
        <v>46314.52799999991</v>
      </c>
      <c r="AW39" s="153">
        <f t="shared" si="20"/>
        <v>0</v>
      </c>
      <c r="AX39" s="153">
        <f t="shared" si="21"/>
        <v>0</v>
      </c>
      <c r="AY39" s="153">
        <f t="shared" si="22"/>
        <v>0</v>
      </c>
      <c r="AZ39" s="153">
        <v>140000</v>
      </c>
      <c r="BA39" s="151">
        <v>29500</v>
      </c>
      <c r="BB39" s="151">
        <v>1115.78</v>
      </c>
      <c r="BC39" s="153"/>
      <c r="BD39" s="153"/>
      <c r="BE39" s="153"/>
      <c r="BF39" s="153">
        <f t="shared" si="23"/>
        <v>1227108.96</v>
      </c>
      <c r="BG39" s="153">
        <f t="shared" si="24"/>
        <v>98034.17405988314</v>
      </c>
      <c r="BH39" s="153">
        <f t="shared" si="25"/>
        <v>170615.78</v>
      </c>
      <c r="BI39" s="153">
        <f t="shared" si="26"/>
        <v>46314.52799999991</v>
      </c>
      <c r="BJ39" s="154">
        <f t="shared" si="27"/>
        <v>1495758.9140598832</v>
      </c>
      <c r="BK39" s="154">
        <v>1495758.9140598832</v>
      </c>
      <c r="BL39" s="154">
        <v>0</v>
      </c>
      <c r="BM39" s="154">
        <v>1325143.1340598832</v>
      </c>
      <c r="BN39" s="154">
        <v>3711.8855295795047</v>
      </c>
      <c r="BO39" s="154">
        <v>3481.8599758426967</v>
      </c>
      <c r="BP39" s="155">
        <v>0.06606398744715059</v>
      </c>
      <c r="BQ39" s="155">
        <v>0</v>
      </c>
      <c r="BR39" s="154">
        <v>0</v>
      </c>
      <c r="BS39" s="156">
        <f t="shared" si="28"/>
        <v>1495758.9140598832</v>
      </c>
      <c r="BT39" s="153">
        <v>-781.8299999999999</v>
      </c>
      <c r="BU39" s="153">
        <v>-435.53999999999996</v>
      </c>
      <c r="BV39" s="157">
        <f t="shared" si="29"/>
        <v>1494541.544059883</v>
      </c>
      <c r="BW39" s="80"/>
      <c r="BX39" s="208"/>
      <c r="BY39" s="211"/>
      <c r="BZ39" s="103"/>
      <c r="CA39" s="103"/>
      <c r="CB39" s="127">
        <v>42667</v>
      </c>
      <c r="CD39" s="200">
        <v>41695</v>
      </c>
      <c r="CE39" s="123">
        <v>310</v>
      </c>
      <c r="CF39" s="123">
        <v>14070</v>
      </c>
      <c r="CG39" s="123">
        <v>19574.166666666664</v>
      </c>
      <c r="CH39" s="123"/>
      <c r="CI39" s="123">
        <v>7971</v>
      </c>
      <c r="CJ39" s="123"/>
      <c r="CK39" s="127"/>
      <c r="CL39" s="2"/>
    </row>
    <row r="40" spans="1:90" ht="14.25">
      <c r="A40" s="185">
        <v>3122059</v>
      </c>
      <c r="B40" s="188">
        <v>2059</v>
      </c>
      <c r="C40" s="102" t="s">
        <v>18</v>
      </c>
      <c r="D40" s="189">
        <v>469</v>
      </c>
      <c r="E40" s="189">
        <v>469</v>
      </c>
      <c r="F40" s="189">
        <v>0</v>
      </c>
      <c r="G40" s="189">
        <v>0</v>
      </c>
      <c r="H40" s="189">
        <v>0</v>
      </c>
      <c r="I40" s="189">
        <v>155.04132231404958</v>
      </c>
      <c r="J40" s="189">
        <v>0</v>
      </c>
      <c r="K40" s="189">
        <v>75.32119914346877</v>
      </c>
      <c r="L40" s="189">
        <v>169.72376873661662</v>
      </c>
      <c r="M40" s="189">
        <v>24.102783725910054</v>
      </c>
      <c r="N40" s="189">
        <v>29.124197002141322</v>
      </c>
      <c r="O40" s="189">
        <v>43.18415417558884</v>
      </c>
      <c r="P40" s="189">
        <v>0</v>
      </c>
      <c r="Q40" s="189">
        <v>0</v>
      </c>
      <c r="R40" s="189">
        <v>0</v>
      </c>
      <c r="S40" s="189">
        <v>0</v>
      </c>
      <c r="T40" s="189">
        <v>0</v>
      </c>
      <c r="U40" s="189">
        <v>0</v>
      </c>
      <c r="V40" s="189">
        <v>0</v>
      </c>
      <c r="W40" s="189">
        <v>136.99999999999977</v>
      </c>
      <c r="X40" s="189">
        <v>0</v>
      </c>
      <c r="Y40" s="189">
        <v>148.6511056511057</v>
      </c>
      <c r="Z40" s="189">
        <v>0</v>
      </c>
      <c r="AA40" s="189">
        <v>0</v>
      </c>
      <c r="AB40" s="189">
        <v>0</v>
      </c>
      <c r="AC40" s="152">
        <f t="shared" si="0"/>
        <v>1612084.32</v>
      </c>
      <c r="AD40" s="152">
        <f t="shared" si="1"/>
        <v>0</v>
      </c>
      <c r="AE40" s="152">
        <f t="shared" si="2"/>
        <v>0</v>
      </c>
      <c r="AF40" s="153">
        <f t="shared" si="3"/>
        <v>159869.3090909091</v>
      </c>
      <c r="AG40" s="153">
        <f t="shared" si="4"/>
        <v>0</v>
      </c>
      <c r="AH40" s="153">
        <f t="shared" si="5"/>
        <v>5076.648822269796</v>
      </c>
      <c r="AI40" s="153">
        <f t="shared" si="6"/>
        <v>22878.764025695924</v>
      </c>
      <c r="AJ40" s="153">
        <f t="shared" si="7"/>
        <v>4873.823897216273</v>
      </c>
      <c r="AK40" s="153">
        <f t="shared" si="8"/>
        <v>7852.174753747322</v>
      </c>
      <c r="AL40" s="153">
        <f t="shared" si="9"/>
        <v>14553.491798715193</v>
      </c>
      <c r="AM40" s="153">
        <f t="shared" si="10"/>
        <v>0</v>
      </c>
      <c r="AN40" s="153">
        <f t="shared" si="11"/>
        <v>0</v>
      </c>
      <c r="AO40" s="153">
        <f t="shared" si="12"/>
        <v>0</v>
      </c>
      <c r="AP40" s="153">
        <f t="shared" si="13"/>
        <v>0</v>
      </c>
      <c r="AQ40" s="153">
        <f t="shared" si="14"/>
        <v>0</v>
      </c>
      <c r="AR40" s="153">
        <f t="shared" si="15"/>
        <v>0</v>
      </c>
      <c r="AS40" s="153">
        <f t="shared" si="16"/>
        <v>0</v>
      </c>
      <c r="AT40" s="153">
        <f t="shared" si="17"/>
        <v>105303.67999999982</v>
      </c>
      <c r="AU40" s="153">
        <f t="shared" si="18"/>
        <v>0</v>
      </c>
      <c r="AV40" s="153">
        <f t="shared" si="19"/>
        <v>91212.31842751846</v>
      </c>
      <c r="AW40" s="153">
        <f t="shared" si="20"/>
        <v>0</v>
      </c>
      <c r="AX40" s="153">
        <f t="shared" si="21"/>
        <v>0</v>
      </c>
      <c r="AY40" s="153">
        <f t="shared" si="22"/>
        <v>0</v>
      </c>
      <c r="AZ40" s="153">
        <v>140000</v>
      </c>
      <c r="BA40" s="151">
        <v>32500</v>
      </c>
      <c r="BB40" s="151">
        <v>1560</v>
      </c>
      <c r="BC40" s="153"/>
      <c r="BD40" s="153"/>
      <c r="BE40" s="153"/>
      <c r="BF40" s="153">
        <f t="shared" si="23"/>
        <v>1612084.32</v>
      </c>
      <c r="BG40" s="153">
        <f t="shared" si="24"/>
        <v>411620.21081607195</v>
      </c>
      <c r="BH40" s="153">
        <f t="shared" si="25"/>
        <v>174060</v>
      </c>
      <c r="BI40" s="153">
        <f t="shared" si="26"/>
        <v>91212.31842751846</v>
      </c>
      <c r="BJ40" s="154">
        <f t="shared" si="27"/>
        <v>2197764.530816072</v>
      </c>
      <c r="BK40" s="154">
        <v>2197764.530816072</v>
      </c>
      <c r="BL40" s="154">
        <v>0</v>
      </c>
      <c r="BM40" s="154">
        <v>2023704.5308160721</v>
      </c>
      <c r="BN40" s="154">
        <v>4314.935033722968</v>
      </c>
      <c r="BO40" s="154">
        <v>4111.808423809524</v>
      </c>
      <c r="BP40" s="155">
        <v>0.04940079618914981</v>
      </c>
      <c r="BQ40" s="155">
        <v>0</v>
      </c>
      <c r="BR40" s="154">
        <v>0</v>
      </c>
      <c r="BS40" s="156">
        <f t="shared" si="28"/>
        <v>2197764.530816072</v>
      </c>
      <c r="BT40" s="153">
        <v>-1027.11</v>
      </c>
      <c r="BU40" s="153">
        <v>-572.18</v>
      </c>
      <c r="BV40" s="157">
        <f t="shared" si="29"/>
        <v>2196165.240816072</v>
      </c>
      <c r="BW40" s="80"/>
      <c r="BX40" s="208"/>
      <c r="BY40" s="211"/>
      <c r="BZ40" s="103"/>
      <c r="CA40" s="103"/>
      <c r="CB40" s="127">
        <v>68726</v>
      </c>
      <c r="CD40" s="200">
        <v>215200</v>
      </c>
      <c r="CE40" s="123"/>
      <c r="CF40" s="123"/>
      <c r="CG40" s="123">
        <v>20752.5</v>
      </c>
      <c r="CH40" s="123"/>
      <c r="CI40" s="123">
        <v>9389</v>
      </c>
      <c r="CJ40" s="123"/>
      <c r="CK40" s="127"/>
      <c r="CL40" s="2"/>
    </row>
    <row r="41" spans="1:90" ht="14.25">
      <c r="A41" s="185">
        <v>3122060</v>
      </c>
      <c r="B41" s="188">
        <v>2060</v>
      </c>
      <c r="C41" s="102" t="s">
        <v>90</v>
      </c>
      <c r="D41" s="189">
        <v>359</v>
      </c>
      <c r="E41" s="189">
        <v>359</v>
      </c>
      <c r="F41" s="189">
        <v>0</v>
      </c>
      <c r="G41" s="189">
        <v>0</v>
      </c>
      <c r="H41" s="189">
        <v>0</v>
      </c>
      <c r="I41" s="189">
        <v>72.00000000000004</v>
      </c>
      <c r="J41" s="189">
        <v>0</v>
      </c>
      <c r="K41" s="189">
        <v>49.999999999999964</v>
      </c>
      <c r="L41" s="189">
        <v>125.0000000000001</v>
      </c>
      <c r="M41" s="189">
        <v>14.000000000000012</v>
      </c>
      <c r="N41" s="189">
        <v>30.000000000000014</v>
      </c>
      <c r="O41" s="189">
        <v>17.000000000000018</v>
      </c>
      <c r="P41" s="189">
        <v>0</v>
      </c>
      <c r="Q41" s="189">
        <v>0</v>
      </c>
      <c r="R41" s="189">
        <v>0</v>
      </c>
      <c r="S41" s="189">
        <v>0</v>
      </c>
      <c r="T41" s="189">
        <v>0</v>
      </c>
      <c r="U41" s="189">
        <v>0</v>
      </c>
      <c r="V41" s="189">
        <v>0</v>
      </c>
      <c r="W41" s="189">
        <v>331.84873949579844</v>
      </c>
      <c r="X41" s="189">
        <v>0</v>
      </c>
      <c r="Y41" s="189">
        <v>94.06113537117898</v>
      </c>
      <c r="Z41" s="189">
        <v>0</v>
      </c>
      <c r="AA41" s="189">
        <v>0</v>
      </c>
      <c r="AB41" s="189">
        <v>0</v>
      </c>
      <c r="AC41" s="152">
        <f t="shared" si="0"/>
        <v>1233983.52</v>
      </c>
      <c r="AD41" s="152">
        <f t="shared" si="1"/>
        <v>0</v>
      </c>
      <c r="AE41" s="152">
        <f t="shared" si="2"/>
        <v>0</v>
      </c>
      <c r="AF41" s="153">
        <f t="shared" si="3"/>
        <v>74242.08000000005</v>
      </c>
      <c r="AG41" s="153">
        <f t="shared" si="4"/>
        <v>0</v>
      </c>
      <c r="AH41" s="153">
        <f t="shared" si="5"/>
        <v>3369.9999999999977</v>
      </c>
      <c r="AI41" s="153">
        <f t="shared" si="6"/>
        <v>16850.000000000015</v>
      </c>
      <c r="AJ41" s="153">
        <f t="shared" si="7"/>
        <v>2830.940000000003</v>
      </c>
      <c r="AK41" s="153">
        <f t="shared" si="8"/>
        <v>8088.300000000004</v>
      </c>
      <c r="AL41" s="153">
        <f t="shared" si="9"/>
        <v>5729.1700000000055</v>
      </c>
      <c r="AM41" s="153">
        <f t="shared" si="10"/>
        <v>0</v>
      </c>
      <c r="AN41" s="153">
        <f t="shared" si="11"/>
        <v>0</v>
      </c>
      <c r="AO41" s="153">
        <f t="shared" si="12"/>
        <v>0</v>
      </c>
      <c r="AP41" s="153">
        <f t="shared" si="13"/>
        <v>0</v>
      </c>
      <c r="AQ41" s="153">
        <f t="shared" si="14"/>
        <v>0</v>
      </c>
      <c r="AR41" s="153">
        <f t="shared" si="15"/>
        <v>0</v>
      </c>
      <c r="AS41" s="153">
        <f t="shared" si="16"/>
        <v>0</v>
      </c>
      <c r="AT41" s="153">
        <f t="shared" si="17"/>
        <v>255072.21512605052</v>
      </c>
      <c r="AU41" s="153">
        <f t="shared" si="18"/>
        <v>0</v>
      </c>
      <c r="AV41" s="153">
        <f t="shared" si="19"/>
        <v>57715.91266375542</v>
      </c>
      <c r="AW41" s="153">
        <f t="shared" si="20"/>
        <v>0</v>
      </c>
      <c r="AX41" s="153">
        <f t="shared" si="21"/>
        <v>0</v>
      </c>
      <c r="AY41" s="153">
        <f t="shared" si="22"/>
        <v>0</v>
      </c>
      <c r="AZ41" s="153">
        <v>140000</v>
      </c>
      <c r="BA41" s="151">
        <v>32500</v>
      </c>
      <c r="BB41" s="151">
        <v>1560</v>
      </c>
      <c r="BC41" s="153"/>
      <c r="BD41" s="153"/>
      <c r="BE41" s="153"/>
      <c r="BF41" s="153">
        <f t="shared" si="23"/>
        <v>1233983.52</v>
      </c>
      <c r="BG41" s="153">
        <f t="shared" si="24"/>
        <v>423898.61778980604</v>
      </c>
      <c r="BH41" s="153">
        <f t="shared" si="25"/>
        <v>174060</v>
      </c>
      <c r="BI41" s="153">
        <f t="shared" si="26"/>
        <v>57715.91266375542</v>
      </c>
      <c r="BJ41" s="154">
        <f t="shared" si="27"/>
        <v>1831942.1377898061</v>
      </c>
      <c r="BK41" s="154">
        <v>1831942.137789806</v>
      </c>
      <c r="BL41" s="154">
        <v>0</v>
      </c>
      <c r="BM41" s="154">
        <v>1657882.1377898061</v>
      </c>
      <c r="BN41" s="154">
        <v>4618.056094122023</v>
      </c>
      <c r="BO41" s="154">
        <v>4279.696291061453</v>
      </c>
      <c r="BP41" s="155">
        <v>0.07906163896893013</v>
      </c>
      <c r="BQ41" s="155">
        <v>0</v>
      </c>
      <c r="BR41" s="154">
        <v>0</v>
      </c>
      <c r="BS41" s="156">
        <f t="shared" si="28"/>
        <v>1831942.1377898061</v>
      </c>
      <c r="BT41" s="153">
        <v>-786.21</v>
      </c>
      <c r="BU41" s="153">
        <v>-437.98</v>
      </c>
      <c r="BV41" s="157">
        <f t="shared" si="29"/>
        <v>1830717.9477898062</v>
      </c>
      <c r="BW41" s="80"/>
      <c r="BX41" s="208" t="e">
        <f>VLOOKUP(B41,#REF!,22,0)</f>
        <v>#REF!</v>
      </c>
      <c r="BY41" s="211"/>
      <c r="BZ41" s="103"/>
      <c r="CA41" s="103"/>
      <c r="CB41" s="127">
        <v>45851</v>
      </c>
      <c r="CD41" s="200">
        <v>82045</v>
      </c>
      <c r="CE41" s="123"/>
      <c r="CF41" s="123"/>
      <c r="CG41" s="123">
        <v>19081.666666666664</v>
      </c>
      <c r="CH41" s="123">
        <v>130445</v>
      </c>
      <c r="CI41" s="123">
        <v>8847</v>
      </c>
      <c r="CJ41" s="123"/>
      <c r="CK41" s="127"/>
      <c r="CL41" s="2"/>
    </row>
    <row r="42" spans="1:90" ht="14.25">
      <c r="A42" s="185">
        <v>3122061</v>
      </c>
      <c r="B42" s="188">
        <v>2061</v>
      </c>
      <c r="C42" s="102" t="s">
        <v>19</v>
      </c>
      <c r="D42" s="189">
        <v>409</v>
      </c>
      <c r="E42" s="189">
        <v>409</v>
      </c>
      <c r="F42" s="189">
        <v>0</v>
      </c>
      <c r="G42" s="189">
        <v>0</v>
      </c>
      <c r="H42" s="189">
        <v>0</v>
      </c>
      <c r="I42" s="189">
        <v>74.9012048192771</v>
      </c>
      <c r="J42" s="189">
        <v>0</v>
      </c>
      <c r="K42" s="189">
        <v>90.99999999999986</v>
      </c>
      <c r="L42" s="189">
        <v>32.00000000000001</v>
      </c>
      <c r="M42" s="189">
        <v>41.9999999999999</v>
      </c>
      <c r="N42" s="189">
        <v>0</v>
      </c>
      <c r="O42" s="189">
        <v>0</v>
      </c>
      <c r="P42" s="189">
        <v>0</v>
      </c>
      <c r="Q42" s="189">
        <v>0</v>
      </c>
      <c r="R42" s="189">
        <v>0</v>
      </c>
      <c r="S42" s="189">
        <v>0</v>
      </c>
      <c r="T42" s="189">
        <v>0</v>
      </c>
      <c r="U42" s="189">
        <v>0</v>
      </c>
      <c r="V42" s="189">
        <v>0</v>
      </c>
      <c r="W42" s="189">
        <v>80.86246418338116</v>
      </c>
      <c r="X42" s="189">
        <v>0</v>
      </c>
      <c r="Y42" s="189">
        <v>83.36305732484061</v>
      </c>
      <c r="Z42" s="189">
        <v>0</v>
      </c>
      <c r="AA42" s="189">
        <v>15.55803921568627</v>
      </c>
      <c r="AB42" s="189">
        <v>0</v>
      </c>
      <c r="AC42" s="152">
        <f t="shared" si="0"/>
        <v>1405847.52</v>
      </c>
      <c r="AD42" s="152">
        <f t="shared" si="1"/>
        <v>0</v>
      </c>
      <c r="AE42" s="152">
        <f t="shared" si="2"/>
        <v>0</v>
      </c>
      <c r="AF42" s="153">
        <f t="shared" si="3"/>
        <v>77233.6283373494</v>
      </c>
      <c r="AG42" s="153">
        <f t="shared" si="4"/>
        <v>0</v>
      </c>
      <c r="AH42" s="153">
        <f t="shared" si="5"/>
        <v>6133.3999999999905</v>
      </c>
      <c r="AI42" s="153">
        <f t="shared" si="6"/>
        <v>4313.600000000001</v>
      </c>
      <c r="AJ42" s="153">
        <f t="shared" si="7"/>
        <v>8492.81999999998</v>
      </c>
      <c r="AK42" s="153">
        <f t="shared" si="8"/>
        <v>0</v>
      </c>
      <c r="AL42" s="153">
        <f t="shared" si="9"/>
        <v>0</v>
      </c>
      <c r="AM42" s="153">
        <f t="shared" si="10"/>
        <v>0</v>
      </c>
      <c r="AN42" s="153">
        <f t="shared" si="11"/>
        <v>0</v>
      </c>
      <c r="AO42" s="153">
        <f t="shared" si="12"/>
        <v>0</v>
      </c>
      <c r="AP42" s="153">
        <f t="shared" si="13"/>
        <v>0</v>
      </c>
      <c r="AQ42" s="153">
        <f t="shared" si="14"/>
        <v>0</v>
      </c>
      <c r="AR42" s="153">
        <f t="shared" si="15"/>
        <v>0</v>
      </c>
      <c r="AS42" s="153">
        <f t="shared" si="16"/>
        <v>0</v>
      </c>
      <c r="AT42" s="153">
        <f t="shared" si="17"/>
        <v>62154.124469914095</v>
      </c>
      <c r="AU42" s="153">
        <f t="shared" si="18"/>
        <v>0</v>
      </c>
      <c r="AV42" s="153">
        <f t="shared" si="19"/>
        <v>51151.5719745222</v>
      </c>
      <c r="AW42" s="153">
        <f t="shared" si="20"/>
        <v>0</v>
      </c>
      <c r="AX42" s="153">
        <f t="shared" si="21"/>
        <v>12944.288627450976</v>
      </c>
      <c r="AY42" s="153">
        <f t="shared" si="22"/>
        <v>0</v>
      </c>
      <c r="AZ42" s="153">
        <v>140000</v>
      </c>
      <c r="BA42" s="151">
        <v>59500</v>
      </c>
      <c r="BB42" s="151">
        <v>2856</v>
      </c>
      <c r="BC42" s="153"/>
      <c r="BD42" s="153"/>
      <c r="BE42" s="153"/>
      <c r="BF42" s="153">
        <f t="shared" si="23"/>
        <v>1405847.52</v>
      </c>
      <c r="BG42" s="153">
        <f t="shared" si="24"/>
        <v>222423.43340923663</v>
      </c>
      <c r="BH42" s="153">
        <f t="shared" si="25"/>
        <v>202356</v>
      </c>
      <c r="BI42" s="153">
        <f t="shared" si="26"/>
        <v>51151.5719745222</v>
      </c>
      <c r="BJ42" s="154">
        <f t="shared" si="27"/>
        <v>1830626.9534092366</v>
      </c>
      <c r="BK42" s="154">
        <v>1830626.9534092366</v>
      </c>
      <c r="BL42" s="154">
        <v>0</v>
      </c>
      <c r="BM42" s="154">
        <v>1628270.9534092366</v>
      </c>
      <c r="BN42" s="154">
        <v>3981.1025755727055</v>
      </c>
      <c r="BO42" s="154">
        <v>3766.7014005000005</v>
      </c>
      <c r="BP42" s="155">
        <v>0.056920141066728804</v>
      </c>
      <c r="BQ42" s="155">
        <v>0</v>
      </c>
      <c r="BR42" s="154">
        <v>0</v>
      </c>
      <c r="BS42" s="156">
        <f t="shared" si="28"/>
        <v>1830626.9534092366</v>
      </c>
      <c r="BT42" s="153">
        <v>-895.7099999999999</v>
      </c>
      <c r="BU42" s="153">
        <v>-498.97999999999996</v>
      </c>
      <c r="BV42" s="157">
        <f t="shared" si="29"/>
        <v>1829232.2634092367</v>
      </c>
      <c r="BW42" s="80"/>
      <c r="BX42" s="208" t="e">
        <f>VLOOKUP(B42,#REF!,22,0)</f>
        <v>#REF!</v>
      </c>
      <c r="BY42" s="211"/>
      <c r="BZ42" s="103"/>
      <c r="CA42" s="103"/>
      <c r="CB42" s="127">
        <v>36909</v>
      </c>
      <c r="CD42" s="200">
        <v>102220</v>
      </c>
      <c r="CE42" s="123">
        <v>4960</v>
      </c>
      <c r="CF42" s="123">
        <v>2345</v>
      </c>
      <c r="CG42" s="123">
        <v>19885.833333333336</v>
      </c>
      <c r="CH42" s="123">
        <v>53314</v>
      </c>
      <c r="CI42" s="123">
        <v>8451</v>
      </c>
      <c r="CJ42" s="123"/>
      <c r="CK42" s="127"/>
      <c r="CL42" s="2"/>
    </row>
    <row r="43" spans="1:90" ht="14.25">
      <c r="A43" s="185">
        <v>3122063</v>
      </c>
      <c r="B43" s="188">
        <v>2063</v>
      </c>
      <c r="C43" s="102" t="s">
        <v>91</v>
      </c>
      <c r="D43" s="189">
        <v>330</v>
      </c>
      <c r="E43" s="189">
        <v>330</v>
      </c>
      <c r="F43" s="189">
        <v>0</v>
      </c>
      <c r="G43" s="189">
        <v>0</v>
      </c>
      <c r="H43" s="189">
        <v>0</v>
      </c>
      <c r="I43" s="189">
        <v>59.65014577259475</v>
      </c>
      <c r="J43" s="189">
        <v>0</v>
      </c>
      <c r="K43" s="189">
        <v>113.99999999999986</v>
      </c>
      <c r="L43" s="189">
        <v>99</v>
      </c>
      <c r="M43" s="189">
        <v>45.999999999999865</v>
      </c>
      <c r="N43" s="189">
        <v>6.999999999999996</v>
      </c>
      <c r="O43" s="189">
        <v>1.9999999999999998</v>
      </c>
      <c r="P43" s="189">
        <v>0</v>
      </c>
      <c r="Q43" s="189">
        <v>0</v>
      </c>
      <c r="R43" s="189">
        <v>0</v>
      </c>
      <c r="S43" s="189">
        <v>0</v>
      </c>
      <c r="T43" s="189">
        <v>0</v>
      </c>
      <c r="U43" s="189">
        <v>0</v>
      </c>
      <c r="V43" s="189">
        <v>0</v>
      </c>
      <c r="W43" s="189">
        <v>64.19795221843013</v>
      </c>
      <c r="X43" s="189">
        <v>0</v>
      </c>
      <c r="Y43" s="189">
        <v>98.50746268656712</v>
      </c>
      <c r="Z43" s="189">
        <v>0</v>
      </c>
      <c r="AA43" s="189">
        <v>8.200000000000017</v>
      </c>
      <c r="AB43" s="189">
        <v>0</v>
      </c>
      <c r="AC43" s="152">
        <f t="shared" si="0"/>
        <v>1134302.4000000001</v>
      </c>
      <c r="AD43" s="152">
        <f t="shared" si="1"/>
        <v>0</v>
      </c>
      <c r="AE43" s="152">
        <f t="shared" si="2"/>
        <v>0</v>
      </c>
      <c r="AF43" s="153">
        <f t="shared" si="3"/>
        <v>61507.651311953356</v>
      </c>
      <c r="AG43" s="153">
        <f t="shared" si="4"/>
        <v>0</v>
      </c>
      <c r="AH43" s="153">
        <f t="shared" si="5"/>
        <v>7683.599999999991</v>
      </c>
      <c r="AI43" s="153">
        <f t="shared" si="6"/>
        <v>13345.2</v>
      </c>
      <c r="AJ43" s="153">
        <f t="shared" si="7"/>
        <v>9301.659999999973</v>
      </c>
      <c r="AK43" s="153">
        <f t="shared" si="8"/>
        <v>1887.2699999999988</v>
      </c>
      <c r="AL43" s="153">
        <f t="shared" si="9"/>
        <v>674.0199999999999</v>
      </c>
      <c r="AM43" s="153">
        <f t="shared" si="10"/>
        <v>0</v>
      </c>
      <c r="AN43" s="153">
        <f t="shared" si="11"/>
        <v>0</v>
      </c>
      <c r="AO43" s="153">
        <f t="shared" si="12"/>
        <v>0</v>
      </c>
      <c r="AP43" s="153">
        <f t="shared" si="13"/>
        <v>0</v>
      </c>
      <c r="AQ43" s="153">
        <f t="shared" si="14"/>
        <v>0</v>
      </c>
      <c r="AR43" s="153">
        <f t="shared" si="15"/>
        <v>0</v>
      </c>
      <c r="AS43" s="153">
        <f t="shared" si="16"/>
        <v>0</v>
      </c>
      <c r="AT43" s="153">
        <f t="shared" si="17"/>
        <v>49345.113993174135</v>
      </c>
      <c r="AU43" s="153">
        <f t="shared" si="18"/>
        <v>0</v>
      </c>
      <c r="AV43" s="153">
        <f t="shared" si="19"/>
        <v>60444.17910447759</v>
      </c>
      <c r="AW43" s="153">
        <f t="shared" si="20"/>
        <v>0</v>
      </c>
      <c r="AX43" s="153">
        <f t="shared" si="21"/>
        <v>6822.400000000014</v>
      </c>
      <c r="AY43" s="153">
        <f t="shared" si="22"/>
        <v>0</v>
      </c>
      <c r="AZ43" s="153">
        <v>140000</v>
      </c>
      <c r="BA43" s="151">
        <v>51000</v>
      </c>
      <c r="BB43" s="151">
        <v>1995.13</v>
      </c>
      <c r="BC43" s="153"/>
      <c r="BD43" s="153"/>
      <c r="BE43" s="153"/>
      <c r="BF43" s="153">
        <f t="shared" si="23"/>
        <v>1134302.4000000001</v>
      </c>
      <c r="BG43" s="153">
        <f t="shared" si="24"/>
        <v>211011.09440960508</v>
      </c>
      <c r="BH43" s="153">
        <f t="shared" si="25"/>
        <v>192995.13</v>
      </c>
      <c r="BI43" s="153">
        <f t="shared" si="26"/>
        <v>60444.17910447759</v>
      </c>
      <c r="BJ43" s="154">
        <f t="shared" si="27"/>
        <v>1538308.6244096053</v>
      </c>
      <c r="BK43" s="154">
        <v>1538308.6244096053</v>
      </c>
      <c r="BL43" s="154">
        <v>0</v>
      </c>
      <c r="BM43" s="154">
        <v>1345313.4944096054</v>
      </c>
      <c r="BN43" s="154">
        <v>4076.707558816986</v>
      </c>
      <c r="BO43" s="154">
        <v>3875.786005555555</v>
      </c>
      <c r="BP43" s="155">
        <v>0.051840208147051876</v>
      </c>
      <c r="BQ43" s="155">
        <v>0</v>
      </c>
      <c r="BR43" s="154">
        <v>0</v>
      </c>
      <c r="BS43" s="156">
        <f t="shared" si="28"/>
        <v>1538308.6244096053</v>
      </c>
      <c r="BT43" s="153">
        <v>-722.6999999999999</v>
      </c>
      <c r="BU43" s="153">
        <v>-402.59999999999997</v>
      </c>
      <c r="BV43" s="157">
        <f t="shared" si="29"/>
        <v>1537183.3244096052</v>
      </c>
      <c r="BW43" s="80"/>
      <c r="BX43" s="208" t="e">
        <f>VLOOKUP(B43,#REF!,22,0)</f>
        <v>#REF!</v>
      </c>
      <c r="BY43" s="211" t="e">
        <f>VLOOKUP(B43,#REF!,11,0)</f>
        <v>#REF!</v>
      </c>
      <c r="BZ43" s="103"/>
      <c r="CA43" s="103"/>
      <c r="CB43" s="127">
        <v>20700</v>
      </c>
      <c r="CD43" s="200">
        <v>79355</v>
      </c>
      <c r="CE43" s="123">
        <v>1240</v>
      </c>
      <c r="CF43" s="123">
        <v>4690</v>
      </c>
      <c r="CG43" s="123">
        <v>19258.333333333332</v>
      </c>
      <c r="CH43" s="123">
        <v>41734</v>
      </c>
      <c r="CI43" s="123">
        <v>8325</v>
      </c>
      <c r="CJ43" s="123"/>
      <c r="CK43" s="127"/>
      <c r="CL43" s="2"/>
    </row>
    <row r="44" spans="1:90" ht="14.25">
      <c r="A44" s="185">
        <v>3122064</v>
      </c>
      <c r="B44" s="188">
        <v>2064</v>
      </c>
      <c r="C44" s="102" t="s">
        <v>20</v>
      </c>
      <c r="D44" s="189">
        <v>571</v>
      </c>
      <c r="E44" s="189">
        <v>571</v>
      </c>
      <c r="F44" s="189">
        <v>0</v>
      </c>
      <c r="G44" s="189">
        <v>0</v>
      </c>
      <c r="H44" s="189">
        <v>0</v>
      </c>
      <c r="I44" s="189">
        <v>188.65194346289755</v>
      </c>
      <c r="J44" s="189">
        <v>0</v>
      </c>
      <c r="K44" s="189">
        <v>37.99999999999998</v>
      </c>
      <c r="L44" s="189">
        <v>300.0000000000002</v>
      </c>
      <c r="M44" s="189">
        <v>175.99999999999997</v>
      </c>
      <c r="N44" s="189">
        <v>19.000000000000014</v>
      </c>
      <c r="O44" s="189">
        <v>3.000000000000002</v>
      </c>
      <c r="P44" s="189">
        <v>0</v>
      </c>
      <c r="Q44" s="189">
        <v>0</v>
      </c>
      <c r="R44" s="189">
        <v>0</v>
      </c>
      <c r="S44" s="189">
        <v>0</v>
      </c>
      <c r="T44" s="189">
        <v>0</v>
      </c>
      <c r="U44" s="189">
        <v>0</v>
      </c>
      <c r="V44" s="189">
        <v>0</v>
      </c>
      <c r="W44" s="189">
        <v>183.70286885245912</v>
      </c>
      <c r="X44" s="189">
        <v>0</v>
      </c>
      <c r="Y44" s="189">
        <v>182.9795454545452</v>
      </c>
      <c r="Z44" s="189">
        <v>0</v>
      </c>
      <c r="AA44" s="189">
        <v>10.898172231985924</v>
      </c>
      <c r="AB44" s="189">
        <v>0</v>
      </c>
      <c r="AC44" s="152">
        <f t="shared" si="0"/>
        <v>1962686.8800000001</v>
      </c>
      <c r="AD44" s="152">
        <f t="shared" si="1"/>
        <v>0</v>
      </c>
      <c r="AE44" s="152">
        <f t="shared" si="2"/>
        <v>0</v>
      </c>
      <c r="AF44" s="153">
        <f t="shared" si="3"/>
        <v>194526.5649823322</v>
      </c>
      <c r="AG44" s="153">
        <f t="shared" si="4"/>
        <v>0</v>
      </c>
      <c r="AH44" s="153">
        <f t="shared" si="5"/>
        <v>2561.199999999999</v>
      </c>
      <c r="AI44" s="153">
        <f t="shared" si="6"/>
        <v>40440.00000000004</v>
      </c>
      <c r="AJ44" s="153">
        <f t="shared" si="7"/>
        <v>35588.96</v>
      </c>
      <c r="AK44" s="153">
        <f t="shared" si="8"/>
        <v>5122.590000000004</v>
      </c>
      <c r="AL44" s="153">
        <f t="shared" si="9"/>
        <v>1011.0300000000008</v>
      </c>
      <c r="AM44" s="153">
        <f t="shared" si="10"/>
        <v>0</v>
      </c>
      <c r="AN44" s="153">
        <f t="shared" si="11"/>
        <v>0</v>
      </c>
      <c r="AO44" s="153">
        <f t="shared" si="12"/>
        <v>0</v>
      </c>
      <c r="AP44" s="153">
        <f t="shared" si="13"/>
        <v>0</v>
      </c>
      <c r="AQ44" s="153">
        <f t="shared" si="14"/>
        <v>0</v>
      </c>
      <c r="AR44" s="153">
        <f t="shared" si="15"/>
        <v>0</v>
      </c>
      <c r="AS44" s="153">
        <f t="shared" si="16"/>
        <v>0</v>
      </c>
      <c r="AT44" s="153">
        <f t="shared" si="17"/>
        <v>141201.37311475418</v>
      </c>
      <c r="AU44" s="153">
        <f t="shared" si="18"/>
        <v>0</v>
      </c>
      <c r="AV44" s="153">
        <f t="shared" si="19"/>
        <v>112276.24909090894</v>
      </c>
      <c r="AW44" s="153">
        <f t="shared" si="20"/>
        <v>0</v>
      </c>
      <c r="AX44" s="153">
        <f t="shared" si="21"/>
        <v>9067.27929701229</v>
      </c>
      <c r="AY44" s="153">
        <f t="shared" si="22"/>
        <v>0</v>
      </c>
      <c r="AZ44" s="153">
        <v>140000</v>
      </c>
      <c r="BA44" s="151">
        <v>86000</v>
      </c>
      <c r="BB44" s="151">
        <v>7605.18</v>
      </c>
      <c r="BC44" s="153"/>
      <c r="BD44" s="153"/>
      <c r="BE44" s="153"/>
      <c r="BF44" s="153">
        <f t="shared" si="23"/>
        <v>1962686.8800000001</v>
      </c>
      <c r="BG44" s="153">
        <f t="shared" si="24"/>
        <v>541795.2464850077</v>
      </c>
      <c r="BH44" s="153">
        <f t="shared" si="25"/>
        <v>233605.18</v>
      </c>
      <c r="BI44" s="153">
        <f t="shared" si="26"/>
        <v>112276.24909090894</v>
      </c>
      <c r="BJ44" s="154">
        <f t="shared" si="27"/>
        <v>2738087.306485008</v>
      </c>
      <c r="BK44" s="154">
        <v>2738087.3064850075</v>
      </c>
      <c r="BL44" s="154">
        <v>0</v>
      </c>
      <c r="BM44" s="154">
        <v>2504482.126485008</v>
      </c>
      <c r="BN44" s="154">
        <v>4386.133321339768</v>
      </c>
      <c r="BO44" s="154">
        <v>4206.367327130434</v>
      </c>
      <c r="BP44" s="155">
        <v>0.04273663715716662</v>
      </c>
      <c r="BQ44" s="155">
        <v>0</v>
      </c>
      <c r="BR44" s="154">
        <v>0</v>
      </c>
      <c r="BS44" s="156">
        <f t="shared" si="28"/>
        <v>2738087.306485008</v>
      </c>
      <c r="BT44" s="153">
        <v>-1250.49</v>
      </c>
      <c r="BU44" s="153">
        <v>-696.62</v>
      </c>
      <c r="BV44" s="157">
        <f t="shared" si="29"/>
        <v>2736140.1964850076</v>
      </c>
      <c r="BW44" s="80"/>
      <c r="BX44" s="208" t="e">
        <f>VLOOKUP(B44,#REF!,22,0)</f>
        <v>#REF!</v>
      </c>
      <c r="BY44" s="211"/>
      <c r="BZ44" s="103"/>
      <c r="CA44" s="103"/>
      <c r="CB44" s="127">
        <v>160060</v>
      </c>
      <c r="CD44" s="200">
        <v>244790</v>
      </c>
      <c r="CE44" s="123"/>
      <c r="CF44" s="123"/>
      <c r="CG44" s="123">
        <v>21343.333333333336</v>
      </c>
      <c r="CH44" s="123">
        <v>65550</v>
      </c>
      <c r="CI44" s="123">
        <v>10453</v>
      </c>
      <c r="CJ44" s="123"/>
      <c r="CK44" s="127"/>
      <c r="CL44" s="2"/>
    </row>
    <row r="45" spans="1:90" ht="14.25">
      <c r="A45" s="185">
        <v>3122065</v>
      </c>
      <c r="B45" s="188">
        <v>2065</v>
      </c>
      <c r="C45" s="121" t="s">
        <v>92</v>
      </c>
      <c r="D45" s="189">
        <v>267</v>
      </c>
      <c r="E45" s="189">
        <v>267</v>
      </c>
      <c r="F45" s="189">
        <v>0</v>
      </c>
      <c r="G45" s="189">
        <v>0</v>
      </c>
      <c r="H45" s="189">
        <v>0</v>
      </c>
      <c r="I45" s="189">
        <v>18.99163179916318</v>
      </c>
      <c r="J45" s="189">
        <v>0</v>
      </c>
      <c r="K45" s="189">
        <v>46.00000000000012</v>
      </c>
      <c r="L45" s="189">
        <v>18.000000000000014</v>
      </c>
      <c r="M45" s="189">
        <v>0</v>
      </c>
      <c r="N45" s="189">
        <v>0</v>
      </c>
      <c r="O45" s="189">
        <v>0</v>
      </c>
      <c r="P45" s="189">
        <v>0</v>
      </c>
      <c r="Q45" s="189">
        <v>0</v>
      </c>
      <c r="R45" s="189">
        <v>0</v>
      </c>
      <c r="S45" s="189">
        <v>0</v>
      </c>
      <c r="T45" s="189">
        <v>0</v>
      </c>
      <c r="U45" s="189">
        <v>0</v>
      </c>
      <c r="V45" s="189">
        <v>0</v>
      </c>
      <c r="W45" s="189">
        <v>29.666666666666636</v>
      </c>
      <c r="X45" s="189">
        <v>0</v>
      </c>
      <c r="Y45" s="189">
        <v>42.08866995073903</v>
      </c>
      <c r="Z45" s="189">
        <v>0</v>
      </c>
      <c r="AA45" s="189">
        <v>0</v>
      </c>
      <c r="AB45" s="189">
        <v>0</v>
      </c>
      <c r="AC45" s="152">
        <f t="shared" si="0"/>
        <v>917753.76</v>
      </c>
      <c r="AD45" s="152">
        <f t="shared" si="1"/>
        <v>0</v>
      </c>
      <c r="AE45" s="152">
        <f t="shared" si="2"/>
        <v>0</v>
      </c>
      <c r="AF45" s="153">
        <f t="shared" si="3"/>
        <v>19583.031213389124</v>
      </c>
      <c r="AG45" s="153">
        <f t="shared" si="4"/>
        <v>0</v>
      </c>
      <c r="AH45" s="153">
        <f t="shared" si="5"/>
        <v>3100.4000000000083</v>
      </c>
      <c r="AI45" s="153">
        <f t="shared" si="6"/>
        <v>2426.400000000002</v>
      </c>
      <c r="AJ45" s="153">
        <f t="shared" si="7"/>
        <v>0</v>
      </c>
      <c r="AK45" s="153">
        <f t="shared" si="8"/>
        <v>0</v>
      </c>
      <c r="AL45" s="153">
        <f t="shared" si="9"/>
        <v>0</v>
      </c>
      <c r="AM45" s="153">
        <f t="shared" si="10"/>
        <v>0</v>
      </c>
      <c r="AN45" s="153">
        <f t="shared" si="11"/>
        <v>0</v>
      </c>
      <c r="AO45" s="153">
        <f t="shared" si="12"/>
        <v>0</v>
      </c>
      <c r="AP45" s="153">
        <f t="shared" si="13"/>
        <v>0</v>
      </c>
      <c r="AQ45" s="153">
        <f t="shared" si="14"/>
        <v>0</v>
      </c>
      <c r="AR45" s="153">
        <f t="shared" si="15"/>
        <v>0</v>
      </c>
      <c r="AS45" s="153">
        <f t="shared" si="16"/>
        <v>0</v>
      </c>
      <c r="AT45" s="153">
        <f t="shared" si="17"/>
        <v>22802.986666666642</v>
      </c>
      <c r="AU45" s="153">
        <f t="shared" si="18"/>
        <v>0</v>
      </c>
      <c r="AV45" s="153">
        <f t="shared" si="19"/>
        <v>25825.60788177347</v>
      </c>
      <c r="AW45" s="153">
        <f t="shared" si="20"/>
        <v>0</v>
      </c>
      <c r="AX45" s="153">
        <f t="shared" si="21"/>
        <v>0</v>
      </c>
      <c r="AY45" s="153">
        <f t="shared" si="22"/>
        <v>0</v>
      </c>
      <c r="AZ45" s="153">
        <v>140000</v>
      </c>
      <c r="BA45" s="151">
        <v>35280</v>
      </c>
      <c r="BB45" s="151">
        <v>30493</v>
      </c>
      <c r="BC45" s="153"/>
      <c r="BD45" s="153"/>
      <c r="BE45" s="153"/>
      <c r="BF45" s="153">
        <f t="shared" si="23"/>
        <v>917753.76</v>
      </c>
      <c r="BG45" s="153">
        <f t="shared" si="24"/>
        <v>73738.42576182925</v>
      </c>
      <c r="BH45" s="153">
        <f t="shared" si="25"/>
        <v>205773</v>
      </c>
      <c r="BI45" s="153">
        <f t="shared" si="26"/>
        <v>25825.60788177347</v>
      </c>
      <c r="BJ45" s="154">
        <f t="shared" si="27"/>
        <v>1197265.1857618294</v>
      </c>
      <c r="BK45" s="154">
        <v>1197265.1857618294</v>
      </c>
      <c r="BL45" s="154">
        <v>0</v>
      </c>
      <c r="BM45" s="154">
        <v>991492.1857618294</v>
      </c>
      <c r="BN45" s="154">
        <v>3713.453879257788</v>
      </c>
      <c r="BO45" s="154">
        <v>3471.0113042016806</v>
      </c>
      <c r="BP45" s="155">
        <v>0.06984782065175904</v>
      </c>
      <c r="BQ45" s="155">
        <v>0</v>
      </c>
      <c r="BR45" s="154">
        <v>0</v>
      </c>
      <c r="BS45" s="156">
        <f t="shared" si="28"/>
        <v>1197265.1857618294</v>
      </c>
      <c r="BT45" s="153">
        <v>-584.73</v>
      </c>
      <c r="BU45" s="153">
        <v>-325.74</v>
      </c>
      <c r="BV45" s="157">
        <f t="shared" si="29"/>
        <v>1196354.7157618294</v>
      </c>
      <c r="BW45" s="80"/>
      <c r="BX45" s="208" t="e">
        <f>VLOOKUP(B45,#REF!,22,0)</f>
        <v>#REF!</v>
      </c>
      <c r="BY45" s="211"/>
      <c r="BZ45" s="103">
        <v>68520</v>
      </c>
      <c r="CA45" s="103"/>
      <c r="CB45" s="127">
        <v>55842</v>
      </c>
      <c r="CD45" s="200">
        <v>22865</v>
      </c>
      <c r="CE45" s="123">
        <v>620</v>
      </c>
      <c r="CF45" s="123">
        <v>4690</v>
      </c>
      <c r="CG45" s="123">
        <v>18303.333333333332</v>
      </c>
      <c r="CH45" s="123">
        <v>41078</v>
      </c>
      <c r="CI45" s="123">
        <v>6561</v>
      </c>
      <c r="CJ45" s="123"/>
      <c r="CK45" s="127"/>
      <c r="CL45" s="2"/>
    </row>
    <row r="46" spans="1:90" ht="14.25">
      <c r="A46" s="185">
        <v>3122069</v>
      </c>
      <c r="B46" s="188">
        <v>2069</v>
      </c>
      <c r="C46" s="102" t="s">
        <v>21</v>
      </c>
      <c r="D46" s="189">
        <v>311</v>
      </c>
      <c r="E46" s="189">
        <v>311</v>
      </c>
      <c r="F46" s="189">
        <v>0</v>
      </c>
      <c r="G46" s="189">
        <v>0</v>
      </c>
      <c r="H46" s="189">
        <v>0</v>
      </c>
      <c r="I46" s="189">
        <v>60.87188612099644</v>
      </c>
      <c r="J46" s="189">
        <v>0</v>
      </c>
      <c r="K46" s="189">
        <v>65.00000000000013</v>
      </c>
      <c r="L46" s="189">
        <v>119.99999999999989</v>
      </c>
      <c r="M46" s="189">
        <v>31.999999999999954</v>
      </c>
      <c r="N46" s="189">
        <v>3.999999999999986</v>
      </c>
      <c r="O46" s="189">
        <v>0</v>
      </c>
      <c r="P46" s="189">
        <v>0</v>
      </c>
      <c r="Q46" s="189">
        <v>0</v>
      </c>
      <c r="R46" s="189">
        <v>0</v>
      </c>
      <c r="S46" s="189">
        <v>0</v>
      </c>
      <c r="T46" s="189">
        <v>0</v>
      </c>
      <c r="U46" s="189">
        <v>0</v>
      </c>
      <c r="V46" s="189">
        <v>0</v>
      </c>
      <c r="W46" s="189">
        <v>204.68877551020395</v>
      </c>
      <c r="X46" s="189">
        <v>0</v>
      </c>
      <c r="Y46" s="189">
        <v>74.7759562841529</v>
      </c>
      <c r="Z46" s="189">
        <v>0</v>
      </c>
      <c r="AA46" s="189">
        <v>0</v>
      </c>
      <c r="AB46" s="189">
        <v>0</v>
      </c>
      <c r="AC46" s="152">
        <f t="shared" si="0"/>
        <v>1068994.08</v>
      </c>
      <c r="AD46" s="152">
        <f t="shared" si="1"/>
        <v>0</v>
      </c>
      <c r="AE46" s="152">
        <f t="shared" si="2"/>
        <v>0</v>
      </c>
      <c r="AF46" s="153">
        <f t="shared" si="3"/>
        <v>62767.43665480428</v>
      </c>
      <c r="AG46" s="153">
        <f t="shared" si="4"/>
        <v>0</v>
      </c>
      <c r="AH46" s="153">
        <f t="shared" si="5"/>
        <v>4381.000000000009</v>
      </c>
      <c r="AI46" s="153">
        <f t="shared" si="6"/>
        <v>16175.999999999985</v>
      </c>
      <c r="AJ46" s="153">
        <f t="shared" si="7"/>
        <v>6470.719999999991</v>
      </c>
      <c r="AK46" s="153">
        <f t="shared" si="8"/>
        <v>1078.4399999999962</v>
      </c>
      <c r="AL46" s="153">
        <f t="shared" si="9"/>
        <v>0</v>
      </c>
      <c r="AM46" s="153">
        <f t="shared" si="10"/>
        <v>0</v>
      </c>
      <c r="AN46" s="153">
        <f t="shared" si="11"/>
        <v>0</v>
      </c>
      <c r="AO46" s="153">
        <f t="shared" si="12"/>
        <v>0</v>
      </c>
      <c r="AP46" s="153">
        <f t="shared" si="13"/>
        <v>0</v>
      </c>
      <c r="AQ46" s="153">
        <f t="shared" si="14"/>
        <v>0</v>
      </c>
      <c r="AR46" s="153">
        <f t="shared" si="15"/>
        <v>0</v>
      </c>
      <c r="AS46" s="153">
        <f t="shared" si="16"/>
        <v>0</v>
      </c>
      <c r="AT46" s="153">
        <f t="shared" si="17"/>
        <v>157331.98040816316</v>
      </c>
      <c r="AU46" s="153">
        <f t="shared" si="18"/>
        <v>0</v>
      </c>
      <c r="AV46" s="153">
        <f t="shared" si="19"/>
        <v>45882.52677595622</v>
      </c>
      <c r="AW46" s="153">
        <f t="shared" si="20"/>
        <v>0</v>
      </c>
      <c r="AX46" s="153">
        <f t="shared" si="21"/>
        <v>0</v>
      </c>
      <c r="AY46" s="153">
        <f t="shared" si="22"/>
        <v>0</v>
      </c>
      <c r="AZ46" s="153">
        <v>140000</v>
      </c>
      <c r="BA46" s="151">
        <v>41250</v>
      </c>
      <c r="BB46" s="151">
        <v>1486.03</v>
      </c>
      <c r="BC46" s="153"/>
      <c r="BD46" s="153"/>
      <c r="BE46" s="153"/>
      <c r="BF46" s="153">
        <f t="shared" si="23"/>
        <v>1068994.08</v>
      </c>
      <c r="BG46" s="153">
        <f t="shared" si="24"/>
        <v>294088.1038389236</v>
      </c>
      <c r="BH46" s="153">
        <f t="shared" si="25"/>
        <v>182736.03</v>
      </c>
      <c r="BI46" s="153">
        <f t="shared" si="26"/>
        <v>45882.52677595622</v>
      </c>
      <c r="BJ46" s="154">
        <f t="shared" si="27"/>
        <v>1545818.2138389237</v>
      </c>
      <c r="BK46" s="154">
        <v>1545818.2138389235</v>
      </c>
      <c r="BL46" s="154">
        <v>0</v>
      </c>
      <c r="BM46" s="154">
        <v>1363082.1838389237</v>
      </c>
      <c r="BN46" s="154">
        <v>4382.900912665349</v>
      </c>
      <c r="BO46" s="154">
        <v>4186.367197212543</v>
      </c>
      <c r="BP46" s="155">
        <v>0.046946124454554865</v>
      </c>
      <c r="BQ46" s="155">
        <v>0</v>
      </c>
      <c r="BR46" s="154">
        <v>0</v>
      </c>
      <c r="BS46" s="156">
        <f t="shared" si="28"/>
        <v>1545818.2138389237</v>
      </c>
      <c r="BT46" s="153">
        <v>-681.09</v>
      </c>
      <c r="BU46" s="153">
        <v>-379.42</v>
      </c>
      <c r="BV46" s="157">
        <f t="shared" si="29"/>
        <v>1544757.7038389237</v>
      </c>
      <c r="BW46" s="80"/>
      <c r="BX46" s="208" t="e">
        <f>VLOOKUP(B46,#REF!,22,0)</f>
        <v>#REF!</v>
      </c>
      <c r="BY46" s="211"/>
      <c r="BZ46" s="103"/>
      <c r="CA46" s="103"/>
      <c r="CB46" s="127">
        <v>44750</v>
      </c>
      <c r="CD46" s="200">
        <v>72630</v>
      </c>
      <c r="CE46" s="123">
        <v>1240</v>
      </c>
      <c r="CF46" s="123"/>
      <c r="CG46" s="123">
        <v>18626.666666666664</v>
      </c>
      <c r="CH46" s="123">
        <v>88056</v>
      </c>
      <c r="CI46" s="123">
        <v>8023</v>
      </c>
      <c r="CJ46" s="123"/>
      <c r="CK46" s="127"/>
      <c r="CL46" s="2"/>
    </row>
    <row r="47" spans="1:90" ht="14.25">
      <c r="A47" s="185">
        <v>3122074</v>
      </c>
      <c r="B47" s="188">
        <v>2074</v>
      </c>
      <c r="C47" s="102" t="s">
        <v>189</v>
      </c>
      <c r="D47" s="189">
        <v>261</v>
      </c>
      <c r="E47" s="189">
        <v>261</v>
      </c>
      <c r="F47" s="189">
        <v>0</v>
      </c>
      <c r="G47" s="189">
        <v>0</v>
      </c>
      <c r="H47" s="189">
        <v>0</v>
      </c>
      <c r="I47" s="189">
        <v>9.923954372623573</v>
      </c>
      <c r="J47" s="189">
        <v>0</v>
      </c>
      <c r="K47" s="189">
        <v>57.999999999999936</v>
      </c>
      <c r="L47" s="189">
        <v>5.99999999999999</v>
      </c>
      <c r="M47" s="189">
        <v>0</v>
      </c>
      <c r="N47" s="189">
        <v>0</v>
      </c>
      <c r="O47" s="189">
        <v>0</v>
      </c>
      <c r="P47" s="189">
        <v>0</v>
      </c>
      <c r="Q47" s="189">
        <v>0</v>
      </c>
      <c r="R47" s="189">
        <v>0</v>
      </c>
      <c r="S47" s="189">
        <v>0</v>
      </c>
      <c r="T47" s="189">
        <v>0</v>
      </c>
      <c r="U47" s="189">
        <v>0</v>
      </c>
      <c r="V47" s="189">
        <v>0</v>
      </c>
      <c r="W47" s="189">
        <v>32.99999999999989</v>
      </c>
      <c r="X47" s="189">
        <v>0</v>
      </c>
      <c r="Y47" s="189">
        <v>51.894736842105225</v>
      </c>
      <c r="Z47" s="189">
        <v>0</v>
      </c>
      <c r="AA47" s="189">
        <v>0</v>
      </c>
      <c r="AB47" s="189">
        <v>0</v>
      </c>
      <c r="AC47" s="152">
        <f t="shared" si="0"/>
        <v>897130.0800000001</v>
      </c>
      <c r="AD47" s="152">
        <f t="shared" si="1"/>
        <v>0</v>
      </c>
      <c r="AE47" s="152">
        <f t="shared" si="2"/>
        <v>0</v>
      </c>
      <c r="AF47" s="153">
        <f t="shared" si="3"/>
        <v>10232.986311787072</v>
      </c>
      <c r="AG47" s="153">
        <f t="shared" si="4"/>
        <v>0</v>
      </c>
      <c r="AH47" s="153">
        <f t="shared" si="5"/>
        <v>3909.199999999996</v>
      </c>
      <c r="AI47" s="153">
        <f t="shared" si="6"/>
        <v>808.7999999999987</v>
      </c>
      <c r="AJ47" s="153">
        <f t="shared" si="7"/>
        <v>0</v>
      </c>
      <c r="AK47" s="153">
        <f t="shared" si="8"/>
        <v>0</v>
      </c>
      <c r="AL47" s="153">
        <f t="shared" si="9"/>
        <v>0</v>
      </c>
      <c r="AM47" s="153">
        <f t="shared" si="10"/>
        <v>0</v>
      </c>
      <c r="AN47" s="153">
        <f t="shared" si="11"/>
        <v>0</v>
      </c>
      <c r="AO47" s="153">
        <f t="shared" si="12"/>
        <v>0</v>
      </c>
      <c r="AP47" s="153">
        <f t="shared" si="13"/>
        <v>0</v>
      </c>
      <c r="AQ47" s="153">
        <f t="shared" si="14"/>
        <v>0</v>
      </c>
      <c r="AR47" s="153">
        <f t="shared" si="15"/>
        <v>0</v>
      </c>
      <c r="AS47" s="153">
        <f t="shared" si="16"/>
        <v>0</v>
      </c>
      <c r="AT47" s="153">
        <f t="shared" si="17"/>
        <v>25365.11999999992</v>
      </c>
      <c r="AU47" s="153">
        <f t="shared" si="18"/>
        <v>0</v>
      </c>
      <c r="AV47" s="153">
        <f t="shared" si="19"/>
        <v>31842.610526315766</v>
      </c>
      <c r="AW47" s="153">
        <f t="shared" si="20"/>
        <v>0</v>
      </c>
      <c r="AX47" s="153">
        <f t="shared" si="21"/>
        <v>0</v>
      </c>
      <c r="AY47" s="153">
        <f t="shared" si="22"/>
        <v>0</v>
      </c>
      <c r="AZ47" s="153">
        <v>140000</v>
      </c>
      <c r="BA47" s="151">
        <v>29500</v>
      </c>
      <c r="BB47" s="151">
        <v>1115.78</v>
      </c>
      <c r="BC47" s="153"/>
      <c r="BD47" s="153"/>
      <c r="BE47" s="153"/>
      <c r="BF47" s="153">
        <f t="shared" si="23"/>
        <v>897130.0800000001</v>
      </c>
      <c r="BG47" s="153">
        <f t="shared" si="24"/>
        <v>72158.71683810276</v>
      </c>
      <c r="BH47" s="153">
        <f t="shared" si="25"/>
        <v>170615.78</v>
      </c>
      <c r="BI47" s="153">
        <f t="shared" si="26"/>
        <v>31842.610526315766</v>
      </c>
      <c r="BJ47" s="154">
        <f t="shared" si="27"/>
        <v>1139904.576838103</v>
      </c>
      <c r="BK47" s="154">
        <v>1139904.5768381027</v>
      </c>
      <c r="BL47" s="154">
        <v>0</v>
      </c>
      <c r="BM47" s="154">
        <v>969288.7968381029</v>
      </c>
      <c r="BN47" s="154">
        <v>3713.7501794563327</v>
      </c>
      <c r="BO47" s="154">
        <v>3493.8863203007522</v>
      </c>
      <c r="BP47" s="155">
        <v>0.06292816623085055</v>
      </c>
      <c r="BQ47" s="155">
        <v>0</v>
      </c>
      <c r="BR47" s="154">
        <v>0</v>
      </c>
      <c r="BS47" s="156">
        <f t="shared" si="28"/>
        <v>1139904.576838103</v>
      </c>
      <c r="BT47" s="153">
        <v>-571.59</v>
      </c>
      <c r="BU47" s="153">
        <v>-318.42</v>
      </c>
      <c r="BV47" s="157">
        <f t="shared" si="29"/>
        <v>1139014.5668381029</v>
      </c>
      <c r="BW47" s="80"/>
      <c r="BX47" s="208" t="e">
        <f>VLOOKUP(B47,#REF!,22,0)</f>
        <v>#REF!</v>
      </c>
      <c r="BY47" s="211" t="e">
        <f>VLOOKUP(B47,#REF!,11,0)</f>
        <v>#REF!</v>
      </c>
      <c r="BZ47" s="103"/>
      <c r="CA47" s="103"/>
      <c r="CB47" s="127">
        <v>43542</v>
      </c>
      <c r="CD47" s="200">
        <v>13450</v>
      </c>
      <c r="CE47" s="123">
        <v>310</v>
      </c>
      <c r="CF47" s="123">
        <v>9380</v>
      </c>
      <c r="CG47" s="123">
        <v>18243.333333333332</v>
      </c>
      <c r="CH47" s="123">
        <v>79971</v>
      </c>
      <c r="CI47" s="123">
        <v>7384</v>
      </c>
      <c r="CJ47" s="123"/>
      <c r="CK47" s="127"/>
      <c r="CL47" s="2"/>
    </row>
    <row r="48" spans="1:90" ht="14.25">
      <c r="A48" s="185">
        <v>3122076</v>
      </c>
      <c r="B48" s="188">
        <v>2076</v>
      </c>
      <c r="C48" s="102" t="s">
        <v>22</v>
      </c>
      <c r="D48" s="189">
        <v>404</v>
      </c>
      <c r="E48" s="189">
        <v>404</v>
      </c>
      <c r="F48" s="189">
        <v>0</v>
      </c>
      <c r="G48" s="189">
        <v>0</v>
      </c>
      <c r="H48" s="189">
        <v>0</v>
      </c>
      <c r="I48" s="189">
        <v>55.136476426799014</v>
      </c>
      <c r="J48" s="189">
        <v>0</v>
      </c>
      <c r="K48" s="189">
        <v>67.99999999999987</v>
      </c>
      <c r="L48" s="189">
        <v>13.000000000000009</v>
      </c>
      <c r="M48" s="189">
        <v>3.0000000000000018</v>
      </c>
      <c r="N48" s="189">
        <v>1.000000000000002</v>
      </c>
      <c r="O48" s="189">
        <v>0</v>
      </c>
      <c r="P48" s="189">
        <v>0</v>
      </c>
      <c r="Q48" s="189">
        <v>0</v>
      </c>
      <c r="R48" s="189">
        <v>0</v>
      </c>
      <c r="S48" s="189">
        <v>0</v>
      </c>
      <c r="T48" s="189">
        <v>0</v>
      </c>
      <c r="U48" s="189">
        <v>0</v>
      </c>
      <c r="V48" s="189">
        <v>0</v>
      </c>
      <c r="W48" s="189">
        <v>77.28695652173914</v>
      </c>
      <c r="X48" s="189">
        <v>0</v>
      </c>
      <c r="Y48" s="189">
        <v>102.62379421221881</v>
      </c>
      <c r="Z48" s="189">
        <v>0</v>
      </c>
      <c r="AA48" s="189">
        <v>0</v>
      </c>
      <c r="AB48" s="189">
        <v>0</v>
      </c>
      <c r="AC48" s="152">
        <f t="shared" si="0"/>
        <v>1388661.12</v>
      </c>
      <c r="AD48" s="152">
        <f t="shared" si="1"/>
        <v>0</v>
      </c>
      <c r="AE48" s="152">
        <f t="shared" si="2"/>
        <v>0</v>
      </c>
      <c r="AF48" s="153">
        <f t="shared" si="3"/>
        <v>56853.42630272954</v>
      </c>
      <c r="AG48" s="153">
        <f t="shared" si="4"/>
        <v>0</v>
      </c>
      <c r="AH48" s="153">
        <f t="shared" si="5"/>
        <v>4583.199999999992</v>
      </c>
      <c r="AI48" s="153">
        <f t="shared" si="6"/>
        <v>1752.4000000000015</v>
      </c>
      <c r="AJ48" s="153">
        <f t="shared" si="7"/>
        <v>606.6300000000003</v>
      </c>
      <c r="AK48" s="153">
        <f t="shared" si="8"/>
        <v>269.6100000000005</v>
      </c>
      <c r="AL48" s="153">
        <f t="shared" si="9"/>
        <v>0</v>
      </c>
      <c r="AM48" s="153">
        <f t="shared" si="10"/>
        <v>0</v>
      </c>
      <c r="AN48" s="153">
        <f t="shared" si="11"/>
        <v>0</v>
      </c>
      <c r="AO48" s="153">
        <f t="shared" si="12"/>
        <v>0</v>
      </c>
      <c r="AP48" s="153">
        <f t="shared" si="13"/>
        <v>0</v>
      </c>
      <c r="AQ48" s="153">
        <f t="shared" si="14"/>
        <v>0</v>
      </c>
      <c r="AR48" s="153">
        <f t="shared" si="15"/>
        <v>0</v>
      </c>
      <c r="AS48" s="153">
        <f t="shared" si="16"/>
        <v>0</v>
      </c>
      <c r="AT48" s="153">
        <f t="shared" si="17"/>
        <v>59405.84626086957</v>
      </c>
      <c r="AU48" s="153">
        <f t="shared" si="18"/>
        <v>0</v>
      </c>
      <c r="AV48" s="153">
        <f t="shared" si="19"/>
        <v>62969.960128617466</v>
      </c>
      <c r="AW48" s="153">
        <f t="shared" si="20"/>
        <v>0</v>
      </c>
      <c r="AX48" s="153">
        <f t="shared" si="21"/>
        <v>0</v>
      </c>
      <c r="AY48" s="153">
        <f t="shared" si="22"/>
        <v>0</v>
      </c>
      <c r="AZ48" s="153">
        <v>140000</v>
      </c>
      <c r="BA48" s="151">
        <v>23280</v>
      </c>
      <c r="BB48" s="151">
        <v>403.54</v>
      </c>
      <c r="BC48" s="153"/>
      <c r="BD48" s="153"/>
      <c r="BE48" s="153"/>
      <c r="BF48" s="153">
        <f t="shared" si="23"/>
        <v>1388661.12</v>
      </c>
      <c r="BG48" s="153">
        <f t="shared" si="24"/>
        <v>186441.07269221658</v>
      </c>
      <c r="BH48" s="153">
        <f t="shared" si="25"/>
        <v>163683.54</v>
      </c>
      <c r="BI48" s="153">
        <f t="shared" si="26"/>
        <v>62969.960128617466</v>
      </c>
      <c r="BJ48" s="154">
        <f t="shared" si="27"/>
        <v>1738785.7326922168</v>
      </c>
      <c r="BK48" s="154">
        <v>1738785.7326922168</v>
      </c>
      <c r="BL48" s="154">
        <v>0</v>
      </c>
      <c r="BM48" s="154">
        <v>1575102.1926922167</v>
      </c>
      <c r="BN48" s="154">
        <v>3898.767803693606</v>
      </c>
      <c r="BO48" s="154">
        <v>3684.1312891891894</v>
      </c>
      <c r="BP48" s="155">
        <v>0.05825973551329494</v>
      </c>
      <c r="BQ48" s="155">
        <v>0</v>
      </c>
      <c r="BR48" s="154">
        <v>0</v>
      </c>
      <c r="BS48" s="156">
        <f t="shared" si="28"/>
        <v>1738785.7326922168</v>
      </c>
      <c r="BT48" s="153">
        <v>-884.76</v>
      </c>
      <c r="BU48" s="153">
        <v>-492.88</v>
      </c>
      <c r="BV48" s="157">
        <f t="shared" si="29"/>
        <v>1737408.0926922169</v>
      </c>
      <c r="BW48" s="80"/>
      <c r="BX48" s="208" t="e">
        <f>VLOOKUP(B48,#REF!,22,0)</f>
        <v>#REF!</v>
      </c>
      <c r="BY48" s="211" t="e">
        <f>VLOOKUP(B48,#REF!,11,0)</f>
        <v>#REF!</v>
      </c>
      <c r="BZ48" s="103"/>
      <c r="CA48" s="103"/>
      <c r="CB48" s="127">
        <v>73433</v>
      </c>
      <c r="CD48" s="200">
        <v>69940</v>
      </c>
      <c r="CE48" s="123">
        <v>2790</v>
      </c>
      <c r="CF48" s="123">
        <v>14070</v>
      </c>
      <c r="CG48" s="123">
        <v>19794.166666666664</v>
      </c>
      <c r="CH48" s="123">
        <v>62928</v>
      </c>
      <c r="CI48" s="123">
        <v>8761</v>
      </c>
      <c r="CJ48" s="123"/>
      <c r="CK48" s="127"/>
      <c r="CL48" s="2"/>
    </row>
    <row r="49" spans="1:90" ht="14.25">
      <c r="A49" s="185">
        <v>3122078</v>
      </c>
      <c r="B49" s="188">
        <v>2078</v>
      </c>
      <c r="C49" s="102" t="s">
        <v>185</v>
      </c>
      <c r="D49" s="189">
        <v>835</v>
      </c>
      <c r="E49" s="189">
        <v>835</v>
      </c>
      <c r="F49" s="189">
        <v>0</v>
      </c>
      <c r="G49" s="189">
        <v>0</v>
      </c>
      <c r="H49" s="189">
        <v>0</v>
      </c>
      <c r="I49" s="189">
        <v>205.75358851674642</v>
      </c>
      <c r="J49" s="189">
        <v>0</v>
      </c>
      <c r="K49" s="189">
        <v>61.99999999999998</v>
      </c>
      <c r="L49" s="189">
        <v>313.00000000000034</v>
      </c>
      <c r="M49" s="189">
        <v>116.00000000000021</v>
      </c>
      <c r="N49" s="189">
        <v>186.9999999999998</v>
      </c>
      <c r="O49" s="189">
        <v>3.0000000000000044</v>
      </c>
      <c r="P49" s="189">
        <v>0</v>
      </c>
      <c r="Q49" s="189">
        <v>0</v>
      </c>
      <c r="R49" s="189">
        <v>0</v>
      </c>
      <c r="S49" s="189">
        <v>0</v>
      </c>
      <c r="T49" s="189">
        <v>0</v>
      </c>
      <c r="U49" s="189">
        <v>0</v>
      </c>
      <c r="V49" s="189">
        <v>0</v>
      </c>
      <c r="W49" s="189">
        <v>353.8135593220339</v>
      </c>
      <c r="X49" s="189">
        <v>0</v>
      </c>
      <c r="Y49" s="189">
        <v>297.3473837209305</v>
      </c>
      <c r="Z49" s="189">
        <v>0</v>
      </c>
      <c r="AA49" s="189">
        <v>1.083894230769213</v>
      </c>
      <c r="AB49" s="189">
        <v>0</v>
      </c>
      <c r="AC49" s="152">
        <f t="shared" si="0"/>
        <v>2870128.8000000003</v>
      </c>
      <c r="AD49" s="152">
        <f t="shared" si="1"/>
        <v>0</v>
      </c>
      <c r="AE49" s="152">
        <f t="shared" si="2"/>
        <v>0</v>
      </c>
      <c r="AF49" s="153">
        <f t="shared" si="3"/>
        <v>212160.75526315792</v>
      </c>
      <c r="AG49" s="153">
        <f t="shared" si="4"/>
        <v>0</v>
      </c>
      <c r="AH49" s="153">
        <f t="shared" si="5"/>
        <v>4178.799999999999</v>
      </c>
      <c r="AI49" s="153">
        <f t="shared" si="6"/>
        <v>42192.40000000005</v>
      </c>
      <c r="AJ49" s="153">
        <f t="shared" si="7"/>
        <v>23456.360000000044</v>
      </c>
      <c r="AK49" s="153">
        <f t="shared" si="8"/>
        <v>50417.06999999995</v>
      </c>
      <c r="AL49" s="153">
        <f t="shared" si="9"/>
        <v>1011.0300000000015</v>
      </c>
      <c r="AM49" s="153">
        <f t="shared" si="10"/>
        <v>0</v>
      </c>
      <c r="AN49" s="153">
        <f t="shared" si="11"/>
        <v>0</v>
      </c>
      <c r="AO49" s="153">
        <f t="shared" si="12"/>
        <v>0</v>
      </c>
      <c r="AP49" s="153">
        <f t="shared" si="13"/>
        <v>0</v>
      </c>
      <c r="AQ49" s="153">
        <f t="shared" si="14"/>
        <v>0</v>
      </c>
      <c r="AR49" s="153">
        <f t="shared" si="15"/>
        <v>0</v>
      </c>
      <c r="AS49" s="153">
        <f t="shared" si="16"/>
        <v>0</v>
      </c>
      <c r="AT49" s="153">
        <f t="shared" si="17"/>
        <v>271955.25423728814</v>
      </c>
      <c r="AU49" s="153">
        <f t="shared" si="18"/>
        <v>0</v>
      </c>
      <c r="AV49" s="153">
        <f t="shared" si="19"/>
        <v>182452.35465116295</v>
      </c>
      <c r="AW49" s="153">
        <f t="shared" si="20"/>
        <v>0</v>
      </c>
      <c r="AX49" s="153">
        <f t="shared" si="21"/>
        <v>901.7999999999852</v>
      </c>
      <c r="AY49" s="153">
        <f t="shared" si="22"/>
        <v>0</v>
      </c>
      <c r="AZ49" s="153">
        <v>140000</v>
      </c>
      <c r="BA49" s="151">
        <v>12300</v>
      </c>
      <c r="BB49" s="151">
        <v>-43.93</v>
      </c>
      <c r="BC49" s="153"/>
      <c r="BD49" s="153"/>
      <c r="BE49" s="153"/>
      <c r="BF49" s="153">
        <f t="shared" si="23"/>
        <v>2870128.8000000003</v>
      </c>
      <c r="BG49" s="153">
        <f t="shared" si="24"/>
        <v>788725.8241516091</v>
      </c>
      <c r="BH49" s="153">
        <f t="shared" si="25"/>
        <v>152256.07</v>
      </c>
      <c r="BI49" s="153">
        <f t="shared" si="26"/>
        <v>182452.35465116295</v>
      </c>
      <c r="BJ49" s="154">
        <f t="shared" si="27"/>
        <v>3811110.694151609</v>
      </c>
      <c r="BK49" s="154">
        <v>3811110.6941516083</v>
      </c>
      <c r="BL49" s="154">
        <v>0</v>
      </c>
      <c r="BM49" s="154">
        <v>3658854.6241516094</v>
      </c>
      <c r="BN49" s="154">
        <v>4381.861825331269</v>
      </c>
      <c r="BO49" s="154">
        <v>4163.330270167065</v>
      </c>
      <c r="BP49" s="155">
        <v>0.05248960351046931</v>
      </c>
      <c r="BQ49" s="155">
        <v>0</v>
      </c>
      <c r="BR49" s="154">
        <v>0</v>
      </c>
      <c r="BS49" s="156">
        <f t="shared" si="28"/>
        <v>3811110.694151609</v>
      </c>
      <c r="BT49" s="153">
        <v>0</v>
      </c>
      <c r="BU49" s="153">
        <v>0</v>
      </c>
      <c r="BV49" s="157">
        <f t="shared" si="29"/>
        <v>3811110.694151609</v>
      </c>
      <c r="BW49" s="80"/>
      <c r="BX49" s="208" t="e">
        <f>VLOOKUP(B49,#REF!,22,0)</f>
        <v>#REF!</v>
      </c>
      <c r="BY49" s="211" t="e">
        <f>VLOOKUP(B49,#REF!,11,0)</f>
        <v>#REF!</v>
      </c>
      <c r="BZ49" s="103"/>
      <c r="CA49" s="103"/>
      <c r="CB49" s="127">
        <v>125245</v>
      </c>
      <c r="CD49" s="200"/>
      <c r="CE49" s="123"/>
      <c r="CF49" s="123"/>
      <c r="CG49" s="123"/>
      <c r="CH49" s="123"/>
      <c r="CI49" s="123"/>
      <c r="CJ49" s="123"/>
      <c r="CK49" s="127"/>
      <c r="CL49" s="2"/>
    </row>
    <row r="50" spans="1:90" ht="14.25">
      <c r="A50" s="185">
        <v>3122080</v>
      </c>
      <c r="B50" s="188">
        <v>2080</v>
      </c>
      <c r="C50" s="102" t="s">
        <v>23</v>
      </c>
      <c r="D50" s="189">
        <v>341</v>
      </c>
      <c r="E50" s="189">
        <v>341</v>
      </c>
      <c r="F50" s="189">
        <v>0</v>
      </c>
      <c r="G50" s="189">
        <v>0</v>
      </c>
      <c r="H50" s="189">
        <v>0</v>
      </c>
      <c r="I50" s="189">
        <v>58.06216216216217</v>
      </c>
      <c r="J50" s="189">
        <v>0</v>
      </c>
      <c r="K50" s="189">
        <v>14.999999999999998</v>
      </c>
      <c r="L50" s="189">
        <v>8.000000000000016</v>
      </c>
      <c r="M50" s="189">
        <v>8.999999999999986</v>
      </c>
      <c r="N50" s="189">
        <v>9.999999999999986</v>
      </c>
      <c r="O50" s="189">
        <v>5.000000000000011</v>
      </c>
      <c r="P50" s="189">
        <v>0</v>
      </c>
      <c r="Q50" s="189">
        <v>0</v>
      </c>
      <c r="R50" s="189">
        <v>0</v>
      </c>
      <c r="S50" s="189">
        <v>0</v>
      </c>
      <c r="T50" s="189">
        <v>0</v>
      </c>
      <c r="U50" s="189">
        <v>0</v>
      </c>
      <c r="V50" s="189">
        <v>0</v>
      </c>
      <c r="W50" s="189">
        <v>67.51342281879192</v>
      </c>
      <c r="X50" s="189">
        <v>0</v>
      </c>
      <c r="Y50" s="189">
        <v>117.71174377224214</v>
      </c>
      <c r="Z50" s="189">
        <v>0</v>
      </c>
      <c r="AA50" s="189">
        <v>1.5400000000000142</v>
      </c>
      <c r="AB50" s="189">
        <v>0</v>
      </c>
      <c r="AC50" s="152">
        <f t="shared" si="0"/>
        <v>1172112.48</v>
      </c>
      <c r="AD50" s="152">
        <f t="shared" si="1"/>
        <v>0</v>
      </c>
      <c r="AE50" s="152">
        <f t="shared" si="2"/>
        <v>0</v>
      </c>
      <c r="AF50" s="153">
        <f t="shared" si="3"/>
        <v>59870.2178918919</v>
      </c>
      <c r="AG50" s="153">
        <f t="shared" si="4"/>
        <v>0</v>
      </c>
      <c r="AH50" s="153">
        <f t="shared" si="5"/>
        <v>1011</v>
      </c>
      <c r="AI50" s="153">
        <f t="shared" si="6"/>
        <v>1078.4000000000021</v>
      </c>
      <c r="AJ50" s="153">
        <f t="shared" si="7"/>
        <v>1819.8899999999971</v>
      </c>
      <c r="AK50" s="153">
        <f t="shared" si="8"/>
        <v>2696.0999999999963</v>
      </c>
      <c r="AL50" s="153">
        <f t="shared" si="9"/>
        <v>1685.0500000000036</v>
      </c>
      <c r="AM50" s="153">
        <f t="shared" si="10"/>
        <v>0</v>
      </c>
      <c r="AN50" s="153">
        <f t="shared" si="11"/>
        <v>0</v>
      </c>
      <c r="AO50" s="153">
        <f t="shared" si="12"/>
        <v>0</v>
      </c>
      <c r="AP50" s="153">
        <f t="shared" si="13"/>
        <v>0</v>
      </c>
      <c r="AQ50" s="153">
        <f t="shared" si="14"/>
        <v>0</v>
      </c>
      <c r="AR50" s="153">
        <f t="shared" si="15"/>
        <v>0</v>
      </c>
      <c r="AS50" s="153">
        <f t="shared" si="16"/>
        <v>0</v>
      </c>
      <c r="AT50" s="153">
        <f t="shared" si="17"/>
        <v>51893.51731543622</v>
      </c>
      <c r="AU50" s="153">
        <f t="shared" si="18"/>
        <v>0</v>
      </c>
      <c r="AV50" s="153">
        <f t="shared" si="19"/>
        <v>72227.92597864778</v>
      </c>
      <c r="AW50" s="153">
        <f t="shared" si="20"/>
        <v>0</v>
      </c>
      <c r="AX50" s="153">
        <f t="shared" si="21"/>
        <v>1281.2800000000118</v>
      </c>
      <c r="AY50" s="153">
        <f t="shared" si="22"/>
        <v>0</v>
      </c>
      <c r="AZ50" s="153">
        <v>140000</v>
      </c>
      <c r="BA50" s="151">
        <v>46250</v>
      </c>
      <c r="BB50" s="151">
        <v>1695.51</v>
      </c>
      <c r="BC50" s="153"/>
      <c r="BD50" s="153"/>
      <c r="BE50" s="153"/>
      <c r="BF50" s="153">
        <f t="shared" si="23"/>
        <v>1172112.48</v>
      </c>
      <c r="BG50" s="153">
        <f t="shared" si="24"/>
        <v>193563.3811859759</v>
      </c>
      <c r="BH50" s="153">
        <f t="shared" si="25"/>
        <v>187945.51</v>
      </c>
      <c r="BI50" s="153">
        <f t="shared" si="26"/>
        <v>72227.92597864778</v>
      </c>
      <c r="BJ50" s="154">
        <f t="shared" si="27"/>
        <v>1553621.3711859758</v>
      </c>
      <c r="BK50" s="154">
        <v>1553621.3711859758</v>
      </c>
      <c r="BL50" s="154">
        <v>0</v>
      </c>
      <c r="BM50" s="154">
        <v>1365675.8611859758</v>
      </c>
      <c r="BN50" s="154">
        <v>4004.9145489324806</v>
      </c>
      <c r="BO50" s="154">
        <v>3806.088778494624</v>
      </c>
      <c r="BP50" s="155">
        <v>0.05223886829999161</v>
      </c>
      <c r="BQ50" s="155">
        <v>0</v>
      </c>
      <c r="BR50" s="154">
        <v>0</v>
      </c>
      <c r="BS50" s="156">
        <f t="shared" si="28"/>
        <v>1553621.3711859758</v>
      </c>
      <c r="BT50" s="153">
        <v>-746.79</v>
      </c>
      <c r="BU50" s="153">
        <v>-416.02</v>
      </c>
      <c r="BV50" s="157">
        <f t="shared" si="29"/>
        <v>1552458.5611859758</v>
      </c>
      <c r="BW50" s="80"/>
      <c r="BX50" s="208" t="e">
        <f>VLOOKUP(B50,#REF!,22,0)</f>
        <v>#REF!</v>
      </c>
      <c r="BY50" s="211"/>
      <c r="BZ50" s="124"/>
      <c r="CA50" s="103"/>
      <c r="CB50" s="127">
        <v>34600</v>
      </c>
      <c r="CD50" s="200">
        <v>82045</v>
      </c>
      <c r="CE50" s="123">
        <v>13020</v>
      </c>
      <c r="CF50" s="123">
        <v>14070</v>
      </c>
      <c r="CG50" s="123">
        <v>19310</v>
      </c>
      <c r="CH50" s="123">
        <v>51348</v>
      </c>
      <c r="CI50" s="123">
        <v>8993</v>
      </c>
      <c r="CJ50" s="123"/>
      <c r="CK50" s="127"/>
      <c r="CL50" s="2"/>
    </row>
    <row r="51" spans="1:90" ht="14.25">
      <c r="A51" s="185">
        <v>3122081</v>
      </c>
      <c r="B51" s="188">
        <v>2081</v>
      </c>
      <c r="C51" s="102" t="s">
        <v>24</v>
      </c>
      <c r="D51" s="189">
        <v>637</v>
      </c>
      <c r="E51" s="189">
        <v>637</v>
      </c>
      <c r="F51" s="189">
        <v>0</v>
      </c>
      <c r="G51" s="189">
        <v>0</v>
      </c>
      <c r="H51" s="189">
        <v>0</v>
      </c>
      <c r="I51" s="189">
        <v>105.17445482866043</v>
      </c>
      <c r="J51" s="189">
        <v>0</v>
      </c>
      <c r="K51" s="189">
        <v>150.23584905660405</v>
      </c>
      <c r="L51" s="189">
        <v>168.26415094339598</v>
      </c>
      <c r="M51" s="189">
        <v>99.15566037735877</v>
      </c>
      <c r="N51" s="189">
        <v>7.011006289308176</v>
      </c>
      <c r="O51" s="189">
        <v>1.0015723270440269</v>
      </c>
      <c r="P51" s="189">
        <v>0</v>
      </c>
      <c r="Q51" s="189">
        <v>0</v>
      </c>
      <c r="R51" s="189">
        <v>0</v>
      </c>
      <c r="S51" s="189">
        <v>0</v>
      </c>
      <c r="T51" s="189">
        <v>0</v>
      </c>
      <c r="U51" s="189">
        <v>0</v>
      </c>
      <c r="V51" s="189">
        <v>0</v>
      </c>
      <c r="W51" s="189">
        <v>210.78062157221225</v>
      </c>
      <c r="X51" s="189">
        <v>0</v>
      </c>
      <c r="Y51" s="189">
        <v>260.1488549618324</v>
      </c>
      <c r="Z51" s="189">
        <v>0</v>
      </c>
      <c r="AA51" s="189">
        <v>0</v>
      </c>
      <c r="AB51" s="189">
        <v>0</v>
      </c>
      <c r="AC51" s="152">
        <f t="shared" si="0"/>
        <v>2189547.3600000003</v>
      </c>
      <c r="AD51" s="152">
        <f t="shared" si="1"/>
        <v>0</v>
      </c>
      <c r="AE51" s="152">
        <f t="shared" si="2"/>
        <v>0</v>
      </c>
      <c r="AF51" s="153">
        <f t="shared" si="3"/>
        <v>108449.58735202493</v>
      </c>
      <c r="AG51" s="153">
        <f t="shared" si="4"/>
        <v>0</v>
      </c>
      <c r="AH51" s="153">
        <f t="shared" si="5"/>
        <v>10125.896226415114</v>
      </c>
      <c r="AI51" s="153">
        <f t="shared" si="6"/>
        <v>22682.00754716978</v>
      </c>
      <c r="AJ51" s="153">
        <f t="shared" si="7"/>
        <v>20050.266084905717</v>
      </c>
      <c r="AK51" s="153">
        <f t="shared" si="8"/>
        <v>1890.2374056603774</v>
      </c>
      <c r="AL51" s="153">
        <f t="shared" si="9"/>
        <v>337.5398899371075</v>
      </c>
      <c r="AM51" s="153">
        <f t="shared" si="10"/>
        <v>0</v>
      </c>
      <c r="AN51" s="153">
        <f t="shared" si="11"/>
        <v>0</v>
      </c>
      <c r="AO51" s="153">
        <f t="shared" si="12"/>
        <v>0</v>
      </c>
      <c r="AP51" s="153">
        <f t="shared" si="13"/>
        <v>0</v>
      </c>
      <c r="AQ51" s="153">
        <f t="shared" si="14"/>
        <v>0</v>
      </c>
      <c r="AR51" s="153">
        <f t="shared" si="15"/>
        <v>0</v>
      </c>
      <c r="AS51" s="153">
        <f t="shared" si="16"/>
        <v>0</v>
      </c>
      <c r="AT51" s="153">
        <f t="shared" si="17"/>
        <v>162014.41696526523</v>
      </c>
      <c r="AU51" s="153">
        <f t="shared" si="18"/>
        <v>0</v>
      </c>
      <c r="AV51" s="153">
        <f t="shared" si="19"/>
        <v>159627.33740458038</v>
      </c>
      <c r="AW51" s="153">
        <f t="shared" si="20"/>
        <v>0</v>
      </c>
      <c r="AX51" s="153">
        <f t="shared" si="21"/>
        <v>0</v>
      </c>
      <c r="AY51" s="153">
        <f t="shared" si="22"/>
        <v>0</v>
      </c>
      <c r="AZ51" s="153">
        <v>140000</v>
      </c>
      <c r="BA51" s="151">
        <v>11200</v>
      </c>
      <c r="BB51" s="151">
        <v>203.27</v>
      </c>
      <c r="BC51" s="153"/>
      <c r="BD51" s="153"/>
      <c r="BE51" s="153"/>
      <c r="BF51" s="153">
        <f t="shared" si="23"/>
        <v>2189547.3600000003</v>
      </c>
      <c r="BG51" s="153">
        <f t="shared" si="24"/>
        <v>485177.2888759587</v>
      </c>
      <c r="BH51" s="153">
        <f t="shared" si="25"/>
        <v>151403.27</v>
      </c>
      <c r="BI51" s="153">
        <f t="shared" si="26"/>
        <v>159627.33740458038</v>
      </c>
      <c r="BJ51" s="154">
        <f t="shared" si="27"/>
        <v>2826127.9188759592</v>
      </c>
      <c r="BK51" s="154">
        <v>2826127.9188759592</v>
      </c>
      <c r="BL51" s="154">
        <v>0</v>
      </c>
      <c r="BM51" s="154">
        <v>2674724.648875959</v>
      </c>
      <c r="BN51" s="154">
        <v>4198.939794153782</v>
      </c>
      <c r="BO51" s="154">
        <v>3973.372547670807</v>
      </c>
      <c r="BP51" s="155">
        <v>0.05676971987315979</v>
      </c>
      <c r="BQ51" s="155">
        <v>0</v>
      </c>
      <c r="BR51" s="154">
        <v>0</v>
      </c>
      <c r="BS51" s="156">
        <f t="shared" si="28"/>
        <v>2826127.9188759592</v>
      </c>
      <c r="BT51" s="153">
        <v>0</v>
      </c>
      <c r="BU51" s="153">
        <v>0</v>
      </c>
      <c r="BV51" s="157">
        <f t="shared" si="29"/>
        <v>2826127.9188759592</v>
      </c>
      <c r="BW51" s="80"/>
      <c r="BX51" s="208" t="e">
        <f>VLOOKUP(B51,#REF!,22,0)</f>
        <v>#REF!</v>
      </c>
      <c r="BY51" s="211" t="e">
        <f>VLOOKUP(B51,#REF!,11,0)</f>
        <v>#REF!</v>
      </c>
      <c r="BZ51" s="103"/>
      <c r="CA51" s="103"/>
      <c r="CB51" s="127">
        <v>80951</v>
      </c>
      <c r="CD51" s="200"/>
      <c r="CE51" s="123"/>
      <c r="CF51" s="123"/>
      <c r="CG51" s="123"/>
      <c r="CH51" s="123"/>
      <c r="CI51" s="123"/>
      <c r="CJ51" s="123"/>
      <c r="CK51" s="127"/>
      <c r="CL51" s="2"/>
    </row>
    <row r="52" spans="1:90" ht="14.25">
      <c r="A52" s="185">
        <v>3122082</v>
      </c>
      <c r="B52" s="188">
        <v>2082</v>
      </c>
      <c r="C52" s="102" t="s">
        <v>40</v>
      </c>
      <c r="D52" s="189">
        <v>924</v>
      </c>
      <c r="E52" s="189">
        <v>924</v>
      </c>
      <c r="F52" s="189">
        <v>0</v>
      </c>
      <c r="G52" s="189">
        <v>0</v>
      </c>
      <c r="H52" s="189">
        <v>0</v>
      </c>
      <c r="I52" s="189">
        <v>243.20930232558138</v>
      </c>
      <c r="J52" s="189">
        <v>0</v>
      </c>
      <c r="K52" s="189">
        <v>153.0000000000004</v>
      </c>
      <c r="L52" s="189">
        <v>325.0000000000002</v>
      </c>
      <c r="M52" s="189">
        <v>382.99999999999955</v>
      </c>
      <c r="N52" s="189">
        <v>12.000000000000012</v>
      </c>
      <c r="O52" s="189">
        <v>3.000000000000003</v>
      </c>
      <c r="P52" s="189">
        <v>0</v>
      </c>
      <c r="Q52" s="189">
        <v>0</v>
      </c>
      <c r="R52" s="189">
        <v>0</v>
      </c>
      <c r="S52" s="189">
        <v>0</v>
      </c>
      <c r="T52" s="189">
        <v>0</v>
      </c>
      <c r="U52" s="189">
        <v>0</v>
      </c>
      <c r="V52" s="189">
        <v>0</v>
      </c>
      <c r="W52" s="189">
        <v>371.44569288389545</v>
      </c>
      <c r="X52" s="189">
        <v>0</v>
      </c>
      <c r="Y52" s="189">
        <v>241.4855570839062</v>
      </c>
      <c r="Z52" s="189">
        <v>0</v>
      </c>
      <c r="AA52" s="189">
        <v>34.85315960912054</v>
      </c>
      <c r="AB52" s="189">
        <v>0</v>
      </c>
      <c r="AC52" s="152">
        <f t="shared" si="0"/>
        <v>3176046.72</v>
      </c>
      <c r="AD52" s="152">
        <f t="shared" si="1"/>
        <v>0</v>
      </c>
      <c r="AE52" s="152">
        <f t="shared" si="2"/>
        <v>0</v>
      </c>
      <c r="AF52" s="153">
        <f t="shared" si="3"/>
        <v>250782.84</v>
      </c>
      <c r="AG52" s="153">
        <f t="shared" si="4"/>
        <v>0</v>
      </c>
      <c r="AH52" s="153">
        <f t="shared" si="5"/>
        <v>10312.200000000028</v>
      </c>
      <c r="AI52" s="153">
        <f t="shared" si="6"/>
        <v>43810.00000000004</v>
      </c>
      <c r="AJ52" s="153">
        <f t="shared" si="7"/>
        <v>77446.4299999999</v>
      </c>
      <c r="AK52" s="153">
        <f t="shared" si="8"/>
        <v>3235.3200000000033</v>
      </c>
      <c r="AL52" s="153">
        <f t="shared" si="9"/>
        <v>1011.030000000001</v>
      </c>
      <c r="AM52" s="153">
        <f t="shared" si="10"/>
        <v>0</v>
      </c>
      <c r="AN52" s="153">
        <f t="shared" si="11"/>
        <v>0</v>
      </c>
      <c r="AO52" s="153">
        <f t="shared" si="12"/>
        <v>0</v>
      </c>
      <c r="AP52" s="153">
        <f t="shared" si="13"/>
        <v>0</v>
      </c>
      <c r="AQ52" s="153">
        <f t="shared" si="14"/>
        <v>0</v>
      </c>
      <c r="AR52" s="153">
        <f t="shared" si="15"/>
        <v>0</v>
      </c>
      <c r="AS52" s="153">
        <f t="shared" si="16"/>
        <v>0</v>
      </c>
      <c r="AT52" s="153">
        <f t="shared" si="17"/>
        <v>285508.0173782774</v>
      </c>
      <c r="AU52" s="153">
        <f t="shared" si="18"/>
        <v>0</v>
      </c>
      <c r="AV52" s="153">
        <f t="shared" si="19"/>
        <v>148175.53782668486</v>
      </c>
      <c r="AW52" s="153">
        <f t="shared" si="20"/>
        <v>0</v>
      </c>
      <c r="AX52" s="153">
        <f t="shared" si="21"/>
        <v>28997.82879478829</v>
      </c>
      <c r="AY52" s="153">
        <f t="shared" si="22"/>
        <v>0</v>
      </c>
      <c r="AZ52" s="153">
        <v>140000</v>
      </c>
      <c r="BA52" s="151">
        <v>16200</v>
      </c>
      <c r="BB52" s="151">
        <v>309.33</v>
      </c>
      <c r="BC52" s="153"/>
      <c r="BD52" s="153"/>
      <c r="BE52" s="153"/>
      <c r="BF52" s="153">
        <f t="shared" si="23"/>
        <v>3176046.72</v>
      </c>
      <c r="BG52" s="153">
        <f t="shared" si="24"/>
        <v>849279.2039997507</v>
      </c>
      <c r="BH52" s="153">
        <f t="shared" si="25"/>
        <v>156509.33</v>
      </c>
      <c r="BI52" s="153">
        <f t="shared" si="26"/>
        <v>148175.53782668486</v>
      </c>
      <c r="BJ52" s="154">
        <f t="shared" si="27"/>
        <v>4181835.253999751</v>
      </c>
      <c r="BK52" s="154">
        <v>4181835.25399975</v>
      </c>
      <c r="BL52" s="154">
        <v>0</v>
      </c>
      <c r="BM52" s="154">
        <v>4025325.923999751</v>
      </c>
      <c r="BN52" s="154">
        <v>4356.413337662068</v>
      </c>
      <c r="BO52" s="154">
        <v>4147.243343347639</v>
      </c>
      <c r="BP52" s="155">
        <v>0.05043591055488638</v>
      </c>
      <c r="BQ52" s="155">
        <v>0</v>
      </c>
      <c r="BR52" s="154">
        <v>0</v>
      </c>
      <c r="BS52" s="156">
        <f t="shared" si="28"/>
        <v>4181835.253999751</v>
      </c>
      <c r="BT52" s="153">
        <v>0</v>
      </c>
      <c r="BU52" s="153">
        <v>0</v>
      </c>
      <c r="BV52" s="157">
        <f t="shared" si="29"/>
        <v>4181835.253999751</v>
      </c>
      <c r="BW52" s="80"/>
      <c r="BX52" s="208" t="e">
        <f>VLOOKUP(B52,#REF!,22,0)</f>
        <v>#REF!</v>
      </c>
      <c r="BY52" s="211"/>
      <c r="BZ52" s="103"/>
      <c r="CA52" s="103"/>
      <c r="CB52" s="127">
        <v>124626</v>
      </c>
      <c r="CD52" s="200"/>
      <c r="CE52" s="123"/>
      <c r="CF52" s="123"/>
      <c r="CG52" s="123"/>
      <c r="CH52" s="123"/>
      <c r="CI52" s="123"/>
      <c r="CJ52" s="123"/>
      <c r="CK52" s="127"/>
      <c r="CL52" s="2"/>
    </row>
    <row r="53" spans="1:90" ht="14.25">
      <c r="A53" s="185">
        <v>3122084</v>
      </c>
      <c r="B53" s="188">
        <v>2084</v>
      </c>
      <c r="C53" s="102" t="s">
        <v>25</v>
      </c>
      <c r="D53" s="189">
        <v>622</v>
      </c>
      <c r="E53" s="189">
        <v>622</v>
      </c>
      <c r="F53" s="189">
        <v>0</v>
      </c>
      <c r="G53" s="189">
        <v>0</v>
      </c>
      <c r="H53" s="189">
        <v>0</v>
      </c>
      <c r="I53" s="189">
        <v>198.27508090614887</v>
      </c>
      <c r="J53" s="189">
        <v>0</v>
      </c>
      <c r="K53" s="189">
        <v>58.99999999999997</v>
      </c>
      <c r="L53" s="189">
        <v>116.00000000000026</v>
      </c>
      <c r="M53" s="189">
        <v>113.99999999999982</v>
      </c>
      <c r="N53" s="189">
        <v>234.99999999999994</v>
      </c>
      <c r="O53" s="189">
        <v>4.9999999999999964</v>
      </c>
      <c r="P53" s="189">
        <v>0</v>
      </c>
      <c r="Q53" s="189">
        <v>0</v>
      </c>
      <c r="R53" s="189">
        <v>0</v>
      </c>
      <c r="S53" s="189">
        <v>0</v>
      </c>
      <c r="T53" s="189">
        <v>0</v>
      </c>
      <c r="U53" s="189">
        <v>0</v>
      </c>
      <c r="V53" s="189">
        <v>0</v>
      </c>
      <c r="W53" s="189">
        <v>159.87617260788008</v>
      </c>
      <c r="X53" s="189">
        <v>0</v>
      </c>
      <c r="Y53" s="189">
        <v>252.02794411177643</v>
      </c>
      <c r="Z53" s="189">
        <v>0</v>
      </c>
      <c r="AA53" s="189">
        <v>2.74441223832528</v>
      </c>
      <c r="AB53" s="189">
        <v>0</v>
      </c>
      <c r="AC53" s="152">
        <f t="shared" si="0"/>
        <v>2137988.16</v>
      </c>
      <c r="AD53" s="152">
        <f t="shared" si="1"/>
        <v>0</v>
      </c>
      <c r="AE53" s="152">
        <f t="shared" si="2"/>
        <v>0</v>
      </c>
      <c r="AF53" s="153">
        <f t="shared" si="3"/>
        <v>204449.36692556637</v>
      </c>
      <c r="AG53" s="153">
        <f t="shared" si="4"/>
        <v>0</v>
      </c>
      <c r="AH53" s="153">
        <f t="shared" si="5"/>
        <v>3976.5999999999985</v>
      </c>
      <c r="AI53" s="153">
        <f t="shared" si="6"/>
        <v>15636.800000000036</v>
      </c>
      <c r="AJ53" s="153">
        <f t="shared" si="7"/>
        <v>23051.939999999962</v>
      </c>
      <c r="AK53" s="153">
        <f t="shared" si="8"/>
        <v>63358.34999999999</v>
      </c>
      <c r="AL53" s="153">
        <f t="shared" si="9"/>
        <v>1685.0499999999988</v>
      </c>
      <c r="AM53" s="153">
        <f t="shared" si="10"/>
        <v>0</v>
      </c>
      <c r="AN53" s="153">
        <f t="shared" si="11"/>
        <v>0</v>
      </c>
      <c r="AO53" s="153">
        <f t="shared" si="12"/>
        <v>0</v>
      </c>
      <c r="AP53" s="153">
        <f t="shared" si="13"/>
        <v>0</v>
      </c>
      <c r="AQ53" s="153">
        <f t="shared" si="14"/>
        <v>0</v>
      </c>
      <c r="AR53" s="153">
        <f t="shared" si="15"/>
        <v>0</v>
      </c>
      <c r="AS53" s="153">
        <f t="shared" si="16"/>
        <v>0</v>
      </c>
      <c r="AT53" s="153">
        <f t="shared" si="17"/>
        <v>122887.22131332094</v>
      </c>
      <c r="AU53" s="153">
        <f t="shared" si="18"/>
        <v>0</v>
      </c>
      <c r="AV53" s="153">
        <f t="shared" si="19"/>
        <v>154644.34650698604</v>
      </c>
      <c r="AW53" s="153">
        <f t="shared" si="20"/>
        <v>0</v>
      </c>
      <c r="AX53" s="153">
        <f t="shared" si="21"/>
        <v>2283.350982286633</v>
      </c>
      <c r="AY53" s="153">
        <f t="shared" si="22"/>
        <v>0</v>
      </c>
      <c r="AZ53" s="153">
        <v>140000</v>
      </c>
      <c r="BA53" s="151">
        <v>72000</v>
      </c>
      <c r="BB53" s="151">
        <v>2481.83</v>
      </c>
      <c r="BC53" s="153"/>
      <c r="BD53" s="153"/>
      <c r="BE53" s="153"/>
      <c r="BF53" s="153">
        <f t="shared" si="23"/>
        <v>2137988.16</v>
      </c>
      <c r="BG53" s="153">
        <f t="shared" si="24"/>
        <v>591973.02572816</v>
      </c>
      <c r="BH53" s="153">
        <f t="shared" si="25"/>
        <v>214481.83</v>
      </c>
      <c r="BI53" s="153">
        <f t="shared" si="26"/>
        <v>154644.34650698604</v>
      </c>
      <c r="BJ53" s="154">
        <f t="shared" si="27"/>
        <v>2944443.0157281603</v>
      </c>
      <c r="BK53" s="154">
        <v>2944443.01572816</v>
      </c>
      <c r="BL53" s="154">
        <v>0</v>
      </c>
      <c r="BM53" s="154">
        <v>2729961.18572816</v>
      </c>
      <c r="BN53" s="154">
        <v>4389.005121749454</v>
      </c>
      <c r="BO53" s="154">
        <v>4159.705991451613</v>
      </c>
      <c r="BP53" s="155">
        <v>0.055123879132097556</v>
      </c>
      <c r="BQ53" s="155">
        <v>0</v>
      </c>
      <c r="BR53" s="154">
        <v>0</v>
      </c>
      <c r="BS53" s="156">
        <f t="shared" si="28"/>
        <v>2944443.0157281603</v>
      </c>
      <c r="BT53" s="153">
        <v>-1362.18</v>
      </c>
      <c r="BU53" s="153">
        <v>-758.84</v>
      </c>
      <c r="BV53" s="157">
        <f t="shared" si="29"/>
        <v>2942321.9957281603</v>
      </c>
      <c r="BW53" s="80"/>
      <c r="BX53" s="208" t="e">
        <f>VLOOKUP(B53,#REF!,22,0)</f>
        <v>#REF!</v>
      </c>
      <c r="BY53" s="211" t="e">
        <f>VLOOKUP(B53,#REF!,11,0)</f>
        <v>#REF!</v>
      </c>
      <c r="BZ53" s="103"/>
      <c r="CA53" s="103"/>
      <c r="CB53" s="127">
        <v>123267</v>
      </c>
      <c r="CD53" s="200">
        <v>255550</v>
      </c>
      <c r="CE53" s="123"/>
      <c r="CF53" s="123">
        <v>11725</v>
      </c>
      <c r="CG53" s="123">
        <v>21895</v>
      </c>
      <c r="CH53" s="123">
        <v>76475</v>
      </c>
      <c r="CI53" s="123">
        <v>11479</v>
      </c>
      <c r="CJ53" s="123"/>
      <c r="CK53" s="127"/>
      <c r="CL53" s="2"/>
    </row>
    <row r="54" spans="1:90" ht="14.25">
      <c r="A54" s="185">
        <v>3123300</v>
      </c>
      <c r="B54" s="188">
        <v>3300</v>
      </c>
      <c r="C54" s="102" t="s">
        <v>94</v>
      </c>
      <c r="D54" s="189">
        <v>263</v>
      </c>
      <c r="E54" s="189">
        <v>263</v>
      </c>
      <c r="F54" s="189">
        <v>0</v>
      </c>
      <c r="G54" s="189">
        <v>0</v>
      </c>
      <c r="H54" s="189">
        <v>0</v>
      </c>
      <c r="I54" s="189">
        <v>40.00000000000008</v>
      </c>
      <c r="J54" s="189">
        <v>0</v>
      </c>
      <c r="K54" s="189">
        <v>21.000000000000014</v>
      </c>
      <c r="L54" s="189">
        <v>18.000000000000007</v>
      </c>
      <c r="M54" s="189">
        <v>2.0000000000000013</v>
      </c>
      <c r="N54" s="189">
        <v>3.0000000000000058</v>
      </c>
      <c r="O54" s="189">
        <v>0</v>
      </c>
      <c r="P54" s="189">
        <v>0</v>
      </c>
      <c r="Q54" s="189">
        <v>0</v>
      </c>
      <c r="R54" s="189">
        <v>0</v>
      </c>
      <c r="S54" s="189">
        <v>0</v>
      </c>
      <c r="T54" s="189">
        <v>0</v>
      </c>
      <c r="U54" s="189">
        <v>0</v>
      </c>
      <c r="V54" s="189">
        <v>0</v>
      </c>
      <c r="W54" s="189">
        <v>33.57446808510636</v>
      </c>
      <c r="X54" s="189">
        <v>0</v>
      </c>
      <c r="Y54" s="189">
        <v>88.07441860465129</v>
      </c>
      <c r="Z54" s="189">
        <v>0</v>
      </c>
      <c r="AA54" s="189">
        <v>19.219999999999935</v>
      </c>
      <c r="AB54" s="189">
        <v>0</v>
      </c>
      <c r="AC54" s="152">
        <f t="shared" si="0"/>
        <v>904004.64</v>
      </c>
      <c r="AD54" s="152">
        <f t="shared" si="1"/>
        <v>0</v>
      </c>
      <c r="AE54" s="152">
        <f t="shared" si="2"/>
        <v>0</v>
      </c>
      <c r="AF54" s="153">
        <f t="shared" si="3"/>
        <v>41245.600000000086</v>
      </c>
      <c r="AG54" s="153">
        <f t="shared" si="4"/>
        <v>0</v>
      </c>
      <c r="AH54" s="153">
        <f t="shared" si="5"/>
        <v>1415.400000000001</v>
      </c>
      <c r="AI54" s="153">
        <f t="shared" si="6"/>
        <v>2426.400000000001</v>
      </c>
      <c r="AJ54" s="153">
        <f t="shared" si="7"/>
        <v>404.4200000000003</v>
      </c>
      <c r="AK54" s="153">
        <f t="shared" si="8"/>
        <v>808.8300000000016</v>
      </c>
      <c r="AL54" s="153">
        <f t="shared" si="9"/>
        <v>0</v>
      </c>
      <c r="AM54" s="153">
        <f t="shared" si="10"/>
        <v>0</v>
      </c>
      <c r="AN54" s="153">
        <f t="shared" si="11"/>
        <v>0</v>
      </c>
      <c r="AO54" s="153">
        <f t="shared" si="12"/>
        <v>0</v>
      </c>
      <c r="AP54" s="153">
        <f t="shared" si="13"/>
        <v>0</v>
      </c>
      <c r="AQ54" s="153">
        <f t="shared" si="14"/>
        <v>0</v>
      </c>
      <c r="AR54" s="153">
        <f t="shared" si="15"/>
        <v>0</v>
      </c>
      <c r="AS54" s="153">
        <f t="shared" si="16"/>
        <v>0</v>
      </c>
      <c r="AT54" s="153">
        <f t="shared" si="17"/>
        <v>25806.679148936153</v>
      </c>
      <c r="AU54" s="153">
        <f t="shared" si="18"/>
        <v>0</v>
      </c>
      <c r="AV54" s="153">
        <f t="shared" si="19"/>
        <v>54042.46325581403</v>
      </c>
      <c r="AW54" s="153">
        <f t="shared" si="20"/>
        <v>0</v>
      </c>
      <c r="AX54" s="153">
        <f t="shared" si="21"/>
        <v>15991.039999999946</v>
      </c>
      <c r="AY54" s="153">
        <f t="shared" si="22"/>
        <v>0</v>
      </c>
      <c r="AZ54" s="153">
        <v>140000</v>
      </c>
      <c r="BA54" s="151">
        <v>5424</v>
      </c>
      <c r="BB54" s="151">
        <v>24.78</v>
      </c>
      <c r="BC54" s="153"/>
      <c r="BD54" s="153"/>
      <c r="BE54" s="153"/>
      <c r="BF54" s="153">
        <f t="shared" si="23"/>
        <v>904004.64</v>
      </c>
      <c r="BG54" s="153">
        <f t="shared" si="24"/>
        <v>142140.83240475022</v>
      </c>
      <c r="BH54" s="153">
        <f t="shared" si="25"/>
        <v>145448.78</v>
      </c>
      <c r="BI54" s="153">
        <f t="shared" si="26"/>
        <v>54042.46325581403</v>
      </c>
      <c r="BJ54" s="154">
        <f t="shared" si="27"/>
        <v>1191594.2524047503</v>
      </c>
      <c r="BK54" s="154">
        <v>1191594.2524047503</v>
      </c>
      <c r="BL54" s="154">
        <v>0</v>
      </c>
      <c r="BM54" s="154">
        <v>1046145.4724047503</v>
      </c>
      <c r="BN54" s="154">
        <v>3977.7394388013317</v>
      </c>
      <c r="BO54" s="154">
        <v>3715.2174273333335</v>
      </c>
      <c r="BP54" s="155">
        <v>0.07066127800127928</v>
      </c>
      <c r="BQ54" s="155">
        <v>0</v>
      </c>
      <c r="BR54" s="154">
        <v>0</v>
      </c>
      <c r="BS54" s="156">
        <f t="shared" si="28"/>
        <v>1191594.2524047503</v>
      </c>
      <c r="BT54" s="153">
        <v>-575.97</v>
      </c>
      <c r="BU54" s="153">
        <v>-320.86</v>
      </c>
      <c r="BV54" s="157">
        <f t="shared" si="29"/>
        <v>1190697.4224047503</v>
      </c>
      <c r="BW54" s="80"/>
      <c r="BX54" s="208" t="e">
        <f>VLOOKUP(B54,#REF!,22,0)</f>
        <v>#REF!</v>
      </c>
      <c r="BY54" s="211" t="e">
        <f>VLOOKUP(B54,#REF!,11,0)</f>
        <v>#REF!</v>
      </c>
      <c r="BZ54" s="103"/>
      <c r="CA54" s="103"/>
      <c r="CB54" s="127">
        <v>60500</v>
      </c>
      <c r="CD54" s="200">
        <v>57835</v>
      </c>
      <c r="CE54" s="123">
        <v>7440</v>
      </c>
      <c r="CF54" s="123">
        <v>4690</v>
      </c>
      <c r="CG54" s="123">
        <v>18625.833333333336</v>
      </c>
      <c r="CH54" s="123">
        <v>36271</v>
      </c>
      <c r="CI54" s="123"/>
      <c r="CJ54" s="123"/>
      <c r="CK54" s="127"/>
      <c r="CL54" s="2"/>
    </row>
    <row r="55" spans="1:90" ht="14.25">
      <c r="A55" s="185">
        <v>3123302</v>
      </c>
      <c r="B55" s="188">
        <v>3302</v>
      </c>
      <c r="C55" s="102" t="s">
        <v>26</v>
      </c>
      <c r="D55" s="189">
        <v>204</v>
      </c>
      <c r="E55" s="189">
        <v>204</v>
      </c>
      <c r="F55" s="189">
        <v>0</v>
      </c>
      <c r="G55" s="189">
        <v>0</v>
      </c>
      <c r="H55" s="189">
        <v>0</v>
      </c>
      <c r="I55" s="189">
        <v>30.848780487804877</v>
      </c>
      <c r="J55" s="189">
        <v>0</v>
      </c>
      <c r="K55" s="189">
        <v>22.328358208955233</v>
      </c>
      <c r="L55" s="189">
        <v>7.104477611940305</v>
      </c>
      <c r="M55" s="189">
        <v>0</v>
      </c>
      <c r="N55" s="189">
        <v>0</v>
      </c>
      <c r="O55" s="189">
        <v>0</v>
      </c>
      <c r="P55" s="189">
        <v>0</v>
      </c>
      <c r="Q55" s="189">
        <v>0</v>
      </c>
      <c r="R55" s="189">
        <v>0</v>
      </c>
      <c r="S55" s="189">
        <v>0</v>
      </c>
      <c r="T55" s="189">
        <v>0</v>
      </c>
      <c r="U55" s="189">
        <v>0</v>
      </c>
      <c r="V55" s="189">
        <v>0</v>
      </c>
      <c r="W55" s="189">
        <v>29.31034482758616</v>
      </c>
      <c r="X55" s="189">
        <v>0</v>
      </c>
      <c r="Y55" s="189">
        <v>53.487804878048884</v>
      </c>
      <c r="Z55" s="189">
        <v>0</v>
      </c>
      <c r="AA55" s="189">
        <v>0</v>
      </c>
      <c r="AB55" s="189">
        <v>0</v>
      </c>
      <c r="AC55" s="152">
        <f t="shared" si="0"/>
        <v>701205.12</v>
      </c>
      <c r="AD55" s="152">
        <f t="shared" si="1"/>
        <v>0</v>
      </c>
      <c r="AE55" s="152">
        <f t="shared" si="2"/>
        <v>0</v>
      </c>
      <c r="AF55" s="153">
        <f t="shared" si="3"/>
        <v>31809.411512195125</v>
      </c>
      <c r="AG55" s="153">
        <f t="shared" si="4"/>
        <v>0</v>
      </c>
      <c r="AH55" s="153">
        <f t="shared" si="5"/>
        <v>1504.931343283583</v>
      </c>
      <c r="AI55" s="153">
        <f t="shared" si="6"/>
        <v>957.6835820895532</v>
      </c>
      <c r="AJ55" s="153">
        <f t="shared" si="7"/>
        <v>0</v>
      </c>
      <c r="AK55" s="153">
        <f t="shared" si="8"/>
        <v>0</v>
      </c>
      <c r="AL55" s="153">
        <f t="shared" si="9"/>
        <v>0</v>
      </c>
      <c r="AM55" s="153">
        <f t="shared" si="10"/>
        <v>0</v>
      </c>
      <c r="AN55" s="153">
        <f t="shared" si="11"/>
        <v>0</v>
      </c>
      <c r="AO55" s="153">
        <f t="shared" si="12"/>
        <v>0</v>
      </c>
      <c r="AP55" s="153">
        <f t="shared" si="13"/>
        <v>0</v>
      </c>
      <c r="AQ55" s="153">
        <f t="shared" si="14"/>
        <v>0</v>
      </c>
      <c r="AR55" s="153">
        <f t="shared" si="15"/>
        <v>0</v>
      </c>
      <c r="AS55" s="153">
        <f t="shared" si="16"/>
        <v>0</v>
      </c>
      <c r="AT55" s="153">
        <f t="shared" si="17"/>
        <v>22529.103448275826</v>
      </c>
      <c r="AU55" s="153">
        <f t="shared" si="18"/>
        <v>0</v>
      </c>
      <c r="AV55" s="153">
        <f t="shared" si="19"/>
        <v>32820.1170731708</v>
      </c>
      <c r="AW55" s="153">
        <f t="shared" si="20"/>
        <v>0</v>
      </c>
      <c r="AX55" s="153">
        <f t="shared" si="21"/>
        <v>0</v>
      </c>
      <c r="AY55" s="153">
        <f t="shared" si="22"/>
        <v>0</v>
      </c>
      <c r="AZ55" s="153">
        <v>140000</v>
      </c>
      <c r="BA55" s="151">
        <v>2856</v>
      </c>
      <c r="BB55" s="151">
        <v>26.79</v>
      </c>
      <c r="BC55" s="153"/>
      <c r="BD55" s="153"/>
      <c r="BE55" s="153"/>
      <c r="BF55" s="153">
        <f t="shared" si="23"/>
        <v>701205.12</v>
      </c>
      <c r="BG55" s="153">
        <f t="shared" si="24"/>
        <v>89621.24695901488</v>
      </c>
      <c r="BH55" s="153">
        <f t="shared" si="25"/>
        <v>142882.79</v>
      </c>
      <c r="BI55" s="153">
        <f t="shared" si="26"/>
        <v>32820.1170731708</v>
      </c>
      <c r="BJ55" s="154">
        <f t="shared" si="27"/>
        <v>933709.156959015</v>
      </c>
      <c r="BK55" s="154">
        <v>933709.1569590151</v>
      </c>
      <c r="BL55" s="154">
        <v>0</v>
      </c>
      <c r="BM55" s="154">
        <v>790826.3669590149</v>
      </c>
      <c r="BN55" s="154">
        <v>3876.5998380343867</v>
      </c>
      <c r="BO55" s="154">
        <v>3581.356567487685</v>
      </c>
      <c r="BP55" s="155">
        <v>0.08243894875673169</v>
      </c>
      <c r="BQ55" s="155">
        <v>0</v>
      </c>
      <c r="BR55" s="154">
        <v>0</v>
      </c>
      <c r="BS55" s="156">
        <f t="shared" si="28"/>
        <v>933709.156959015</v>
      </c>
      <c r="BT55" s="153">
        <v>-446.76</v>
      </c>
      <c r="BU55" s="153">
        <v>-248.88</v>
      </c>
      <c r="BV55" s="157">
        <f t="shared" si="29"/>
        <v>933013.5169590149</v>
      </c>
      <c r="BW55" s="80"/>
      <c r="BX55" s="208" t="e">
        <f>VLOOKUP(B55,#REF!,22,0)</f>
        <v>#REF!</v>
      </c>
      <c r="BY55" s="211"/>
      <c r="BZ55" s="103"/>
      <c r="CA55" s="103"/>
      <c r="CB55" s="127">
        <v>26242</v>
      </c>
      <c r="CD55" s="200">
        <v>40350</v>
      </c>
      <c r="CE55" s="123"/>
      <c r="CF55" s="123">
        <v>11725</v>
      </c>
      <c r="CG55" s="123">
        <v>17919.166666666664</v>
      </c>
      <c r="CH55" s="123">
        <v>31246</v>
      </c>
      <c r="CI55" s="123"/>
      <c r="CJ55" s="123"/>
      <c r="CK55" s="127"/>
      <c r="CL55" s="2"/>
    </row>
    <row r="56" spans="1:89" ht="14.25">
      <c r="A56" s="185">
        <v>3123306</v>
      </c>
      <c r="B56" s="188">
        <v>3306</v>
      </c>
      <c r="C56" s="102" t="s">
        <v>125</v>
      </c>
      <c r="D56" s="189">
        <v>401</v>
      </c>
      <c r="E56" s="189">
        <v>401</v>
      </c>
      <c r="F56" s="189">
        <v>0</v>
      </c>
      <c r="G56" s="189">
        <v>0</v>
      </c>
      <c r="H56" s="189">
        <v>0</v>
      </c>
      <c r="I56" s="189">
        <v>68.15024630541872</v>
      </c>
      <c r="J56" s="189">
        <v>0</v>
      </c>
      <c r="K56" s="189">
        <v>40.99999999999984</v>
      </c>
      <c r="L56" s="189">
        <v>157.99999999999991</v>
      </c>
      <c r="M56" s="189">
        <v>90.99999999999997</v>
      </c>
      <c r="N56" s="189">
        <v>42.9999999999999</v>
      </c>
      <c r="O56" s="189">
        <v>7.000000000000005</v>
      </c>
      <c r="P56" s="189">
        <v>0</v>
      </c>
      <c r="Q56" s="189">
        <v>0</v>
      </c>
      <c r="R56" s="189">
        <v>0</v>
      </c>
      <c r="S56" s="189">
        <v>0</v>
      </c>
      <c r="T56" s="189">
        <v>0</v>
      </c>
      <c r="U56" s="189">
        <v>0</v>
      </c>
      <c r="V56" s="189">
        <v>0</v>
      </c>
      <c r="W56" s="189">
        <v>113.04154302670628</v>
      </c>
      <c r="X56" s="189">
        <v>0</v>
      </c>
      <c r="Y56" s="189">
        <v>122.52777777777797</v>
      </c>
      <c r="Z56" s="189">
        <v>0</v>
      </c>
      <c r="AA56" s="189">
        <v>6.940000000000001</v>
      </c>
      <c r="AB56" s="189">
        <v>0</v>
      </c>
      <c r="AC56" s="152">
        <f t="shared" si="0"/>
        <v>1378349.28</v>
      </c>
      <c r="AD56" s="152">
        <f t="shared" si="1"/>
        <v>0</v>
      </c>
      <c r="AE56" s="152">
        <f t="shared" si="2"/>
        <v>0</v>
      </c>
      <c r="AF56" s="153">
        <f t="shared" si="3"/>
        <v>70272.44497536946</v>
      </c>
      <c r="AG56" s="153">
        <f t="shared" si="4"/>
        <v>0</v>
      </c>
      <c r="AH56" s="153">
        <f t="shared" si="5"/>
        <v>2763.399999999989</v>
      </c>
      <c r="AI56" s="153">
        <f t="shared" si="6"/>
        <v>21298.39999999999</v>
      </c>
      <c r="AJ56" s="153">
        <f t="shared" si="7"/>
        <v>18401.109999999993</v>
      </c>
      <c r="AK56" s="153">
        <f t="shared" si="8"/>
        <v>11593.229999999974</v>
      </c>
      <c r="AL56" s="153">
        <f t="shared" si="9"/>
        <v>2359.0700000000015</v>
      </c>
      <c r="AM56" s="153">
        <f t="shared" si="10"/>
        <v>0</v>
      </c>
      <c r="AN56" s="153">
        <f t="shared" si="11"/>
        <v>0</v>
      </c>
      <c r="AO56" s="153">
        <f t="shared" si="12"/>
        <v>0</v>
      </c>
      <c r="AP56" s="153">
        <f t="shared" si="13"/>
        <v>0</v>
      </c>
      <c r="AQ56" s="153">
        <f t="shared" si="14"/>
        <v>0</v>
      </c>
      <c r="AR56" s="153">
        <f t="shared" si="15"/>
        <v>0</v>
      </c>
      <c r="AS56" s="153">
        <f t="shared" si="16"/>
        <v>0</v>
      </c>
      <c r="AT56" s="153">
        <f t="shared" si="17"/>
        <v>86888.25163204751</v>
      </c>
      <c r="AU56" s="153">
        <f t="shared" si="18"/>
        <v>0</v>
      </c>
      <c r="AV56" s="153">
        <f t="shared" si="19"/>
        <v>75183.04444444456</v>
      </c>
      <c r="AW56" s="153">
        <f t="shared" si="20"/>
        <v>0</v>
      </c>
      <c r="AX56" s="153">
        <f t="shared" si="21"/>
        <v>5774.080000000001</v>
      </c>
      <c r="AY56" s="153">
        <f t="shared" si="22"/>
        <v>0</v>
      </c>
      <c r="AZ56" s="153">
        <v>140000</v>
      </c>
      <c r="BA56" s="151">
        <v>5328</v>
      </c>
      <c r="BB56" s="151">
        <v>266.4</v>
      </c>
      <c r="BC56" s="153"/>
      <c r="BD56" s="153"/>
      <c r="BE56" s="153"/>
      <c r="BF56" s="153">
        <f t="shared" si="23"/>
        <v>1378349.28</v>
      </c>
      <c r="BG56" s="153">
        <f t="shared" si="24"/>
        <v>294533.03105186153</v>
      </c>
      <c r="BH56" s="153">
        <f t="shared" si="25"/>
        <v>145594.4</v>
      </c>
      <c r="BI56" s="153">
        <f t="shared" si="26"/>
        <v>75183.04444444456</v>
      </c>
      <c r="BJ56" s="154">
        <f t="shared" si="27"/>
        <v>1818476.7110518615</v>
      </c>
      <c r="BK56" s="154">
        <v>1818476.7110518615</v>
      </c>
      <c r="BL56" s="154">
        <v>0</v>
      </c>
      <c r="BM56" s="154">
        <v>1672882.3110518616</v>
      </c>
      <c r="BN56" s="154">
        <v>4171.776336787685</v>
      </c>
      <c r="BO56" s="154">
        <v>3908.0466769975783</v>
      </c>
      <c r="BP56" s="155">
        <v>0.0674837538001776</v>
      </c>
      <c r="BQ56" s="155">
        <v>0</v>
      </c>
      <c r="BR56" s="154">
        <v>0</v>
      </c>
      <c r="BS56" s="156">
        <f t="shared" si="28"/>
        <v>1818476.7110518615</v>
      </c>
      <c r="BT56" s="153">
        <v>0</v>
      </c>
      <c r="BU56" s="153">
        <v>0</v>
      </c>
      <c r="BV56" s="157">
        <f t="shared" si="29"/>
        <v>1818476.7110518615</v>
      </c>
      <c r="BW56" s="80"/>
      <c r="BX56" s="208" t="e">
        <f>VLOOKUP(B56,#REF!,22,0)</f>
        <v>#REF!</v>
      </c>
      <c r="BY56" s="211"/>
      <c r="BZ56" s="103"/>
      <c r="CA56" s="103"/>
      <c r="CB56" s="127">
        <v>45984</v>
      </c>
      <c r="CD56" s="200"/>
      <c r="CE56" s="123"/>
      <c r="CF56" s="123"/>
      <c r="CG56" s="123"/>
      <c r="CH56" s="123"/>
      <c r="CI56" s="123"/>
      <c r="CJ56" s="123"/>
      <c r="CK56" s="127"/>
    </row>
    <row r="57" spans="1:89" ht="14.25">
      <c r="A57" s="185">
        <v>3123307</v>
      </c>
      <c r="B57" s="188">
        <v>3307</v>
      </c>
      <c r="C57" s="102" t="s">
        <v>27</v>
      </c>
      <c r="D57" s="189">
        <v>414</v>
      </c>
      <c r="E57" s="189">
        <v>414</v>
      </c>
      <c r="F57" s="189">
        <v>0</v>
      </c>
      <c r="G57" s="189">
        <v>0</v>
      </c>
      <c r="H57" s="189">
        <v>0</v>
      </c>
      <c r="I57" s="189">
        <v>78</v>
      </c>
      <c r="J57" s="189">
        <v>0</v>
      </c>
      <c r="K57" s="189">
        <v>85.0000000000001</v>
      </c>
      <c r="L57" s="189">
        <v>120.99999999999991</v>
      </c>
      <c r="M57" s="189">
        <v>142.00000000000017</v>
      </c>
      <c r="N57" s="189">
        <v>16.000000000000007</v>
      </c>
      <c r="O57" s="189">
        <v>5.999999999999998</v>
      </c>
      <c r="P57" s="189">
        <v>0</v>
      </c>
      <c r="Q57" s="189">
        <v>0</v>
      </c>
      <c r="R57" s="189">
        <v>0</v>
      </c>
      <c r="S57" s="189">
        <v>0</v>
      </c>
      <c r="T57" s="189">
        <v>0</v>
      </c>
      <c r="U57" s="189">
        <v>0</v>
      </c>
      <c r="V57" s="189">
        <v>0</v>
      </c>
      <c r="W57" s="189">
        <v>126.7346938775511</v>
      </c>
      <c r="X57" s="189">
        <v>0</v>
      </c>
      <c r="Y57" s="189">
        <v>142.38728323699408</v>
      </c>
      <c r="Z57" s="189">
        <v>0</v>
      </c>
      <c r="AA57" s="189">
        <v>0</v>
      </c>
      <c r="AB57" s="189">
        <v>0</v>
      </c>
      <c r="AC57" s="152">
        <f t="shared" si="0"/>
        <v>1423033.9200000002</v>
      </c>
      <c r="AD57" s="152">
        <f t="shared" si="1"/>
        <v>0</v>
      </c>
      <c r="AE57" s="152">
        <f t="shared" si="2"/>
        <v>0</v>
      </c>
      <c r="AF57" s="153">
        <f t="shared" si="3"/>
        <v>80428.92000000001</v>
      </c>
      <c r="AG57" s="153">
        <f t="shared" si="4"/>
        <v>0</v>
      </c>
      <c r="AH57" s="153">
        <f t="shared" si="5"/>
        <v>5729.000000000007</v>
      </c>
      <c r="AI57" s="153">
        <f t="shared" si="6"/>
        <v>16310.79999999999</v>
      </c>
      <c r="AJ57" s="153">
        <f t="shared" si="7"/>
        <v>28713.820000000036</v>
      </c>
      <c r="AK57" s="153">
        <f t="shared" si="8"/>
        <v>4313.760000000002</v>
      </c>
      <c r="AL57" s="153">
        <f t="shared" si="9"/>
        <v>2022.0599999999993</v>
      </c>
      <c r="AM57" s="153">
        <f t="shared" si="10"/>
        <v>0</v>
      </c>
      <c r="AN57" s="153">
        <f t="shared" si="11"/>
        <v>0</v>
      </c>
      <c r="AO57" s="153">
        <f t="shared" si="12"/>
        <v>0</v>
      </c>
      <c r="AP57" s="153">
        <f t="shared" si="13"/>
        <v>0</v>
      </c>
      <c r="AQ57" s="153">
        <f t="shared" si="14"/>
        <v>0</v>
      </c>
      <c r="AR57" s="153">
        <f t="shared" si="15"/>
        <v>0</v>
      </c>
      <c r="AS57" s="153">
        <f t="shared" si="16"/>
        <v>0</v>
      </c>
      <c r="AT57" s="153">
        <f t="shared" si="17"/>
        <v>97413.35510204088</v>
      </c>
      <c r="AU57" s="153">
        <f t="shared" si="18"/>
        <v>0</v>
      </c>
      <c r="AV57" s="153">
        <f t="shared" si="19"/>
        <v>87368.83699421957</v>
      </c>
      <c r="AW57" s="153">
        <f t="shared" si="20"/>
        <v>0</v>
      </c>
      <c r="AX57" s="153">
        <f t="shared" si="21"/>
        <v>0</v>
      </c>
      <c r="AY57" s="153">
        <f t="shared" si="22"/>
        <v>0</v>
      </c>
      <c r="AZ57" s="153">
        <v>140000</v>
      </c>
      <c r="BA57" s="151">
        <v>7008</v>
      </c>
      <c r="BB57" s="151">
        <v>-31.49</v>
      </c>
      <c r="BC57" s="153"/>
      <c r="BD57" s="153"/>
      <c r="BE57" s="153"/>
      <c r="BF57" s="153">
        <f t="shared" si="23"/>
        <v>1423033.9200000002</v>
      </c>
      <c r="BG57" s="153">
        <f t="shared" si="24"/>
        <v>322300.5520962605</v>
      </c>
      <c r="BH57" s="153">
        <f t="shared" si="25"/>
        <v>146976.51</v>
      </c>
      <c r="BI57" s="153">
        <f t="shared" si="26"/>
        <v>87368.83699421957</v>
      </c>
      <c r="BJ57" s="154">
        <f t="shared" si="27"/>
        <v>1892310.9820962606</v>
      </c>
      <c r="BK57" s="154">
        <v>1892310.9820962606</v>
      </c>
      <c r="BL57" s="154">
        <v>0</v>
      </c>
      <c r="BM57" s="154">
        <v>1745334.4720962606</v>
      </c>
      <c r="BN57" s="154">
        <v>4215.783749024784</v>
      </c>
      <c r="BO57" s="154">
        <v>3977.9003341346156</v>
      </c>
      <c r="BP57" s="155">
        <v>0.05980125063689394</v>
      </c>
      <c r="BQ57" s="155">
        <v>0</v>
      </c>
      <c r="BR57" s="154">
        <v>0</v>
      </c>
      <c r="BS57" s="156">
        <f t="shared" si="28"/>
        <v>1892310.9820962606</v>
      </c>
      <c r="BT57" s="153">
        <v>-906.66</v>
      </c>
      <c r="BU57" s="153">
        <v>-505.08</v>
      </c>
      <c r="BV57" s="157">
        <f t="shared" si="29"/>
        <v>1890899.2420962607</v>
      </c>
      <c r="BW57" s="80"/>
      <c r="BX57" s="208" t="e">
        <f>VLOOKUP(B57,#REF!,22,0)</f>
        <v>#REF!</v>
      </c>
      <c r="BY57" s="211" t="e">
        <f>VLOOKUP(B57,#REF!,11,0)</f>
        <v>#REF!</v>
      </c>
      <c r="BZ57" s="103"/>
      <c r="CA57" s="103"/>
      <c r="CB57" s="127">
        <v>71800</v>
      </c>
      <c r="CD57" s="200">
        <v>100875</v>
      </c>
      <c r="CE57" s="123"/>
      <c r="CF57" s="123">
        <v>11725</v>
      </c>
      <c r="CG57" s="123">
        <v>19890</v>
      </c>
      <c r="CH57" s="123">
        <v>51785</v>
      </c>
      <c r="CI57" s="123"/>
      <c r="CJ57" s="123"/>
      <c r="CK57" s="127"/>
    </row>
    <row r="58" spans="1:89" ht="14.25">
      <c r="A58" s="185">
        <v>3123400</v>
      </c>
      <c r="B58" s="188">
        <v>3400</v>
      </c>
      <c r="C58" s="102" t="s">
        <v>150</v>
      </c>
      <c r="D58" s="189">
        <v>205</v>
      </c>
      <c r="E58" s="189">
        <v>205</v>
      </c>
      <c r="F58" s="189">
        <v>0</v>
      </c>
      <c r="G58" s="189">
        <v>0</v>
      </c>
      <c r="H58" s="189">
        <v>0</v>
      </c>
      <c r="I58" s="189">
        <v>9.088669950738916</v>
      </c>
      <c r="J58" s="189">
        <v>0</v>
      </c>
      <c r="K58" s="189">
        <v>22.00000000000006</v>
      </c>
      <c r="L58" s="189">
        <v>10.00000000000001</v>
      </c>
      <c r="M58" s="189">
        <v>5.999999999999994</v>
      </c>
      <c r="N58" s="189">
        <v>0</v>
      </c>
      <c r="O58" s="189">
        <v>0</v>
      </c>
      <c r="P58" s="189">
        <v>0</v>
      </c>
      <c r="Q58" s="189">
        <v>0</v>
      </c>
      <c r="R58" s="189">
        <v>0</v>
      </c>
      <c r="S58" s="189">
        <v>0</v>
      </c>
      <c r="T58" s="189">
        <v>0</v>
      </c>
      <c r="U58" s="189">
        <v>0</v>
      </c>
      <c r="V58" s="189">
        <v>0</v>
      </c>
      <c r="W58" s="189">
        <v>31.62857142857137</v>
      </c>
      <c r="X58" s="189">
        <v>0</v>
      </c>
      <c r="Y58" s="189">
        <v>41.959064327485294</v>
      </c>
      <c r="Z58" s="189">
        <v>0</v>
      </c>
      <c r="AA58" s="189">
        <v>0</v>
      </c>
      <c r="AB58" s="189">
        <v>0</v>
      </c>
      <c r="AC58" s="152">
        <f t="shared" si="0"/>
        <v>704642.4</v>
      </c>
      <c r="AD58" s="152">
        <f t="shared" si="1"/>
        <v>0</v>
      </c>
      <c r="AE58" s="152">
        <f t="shared" si="2"/>
        <v>0</v>
      </c>
      <c r="AF58" s="153">
        <f t="shared" si="3"/>
        <v>9371.691133004928</v>
      </c>
      <c r="AG58" s="153">
        <f t="shared" si="4"/>
        <v>0</v>
      </c>
      <c r="AH58" s="153">
        <f t="shared" si="5"/>
        <v>1482.8000000000043</v>
      </c>
      <c r="AI58" s="153">
        <f t="shared" si="6"/>
        <v>1348.0000000000016</v>
      </c>
      <c r="AJ58" s="153">
        <f t="shared" si="7"/>
        <v>1213.2599999999989</v>
      </c>
      <c r="AK58" s="153">
        <f t="shared" si="8"/>
        <v>0</v>
      </c>
      <c r="AL58" s="153">
        <f t="shared" si="9"/>
        <v>0</v>
      </c>
      <c r="AM58" s="153">
        <f t="shared" si="10"/>
        <v>0</v>
      </c>
      <c r="AN58" s="153">
        <f t="shared" si="11"/>
        <v>0</v>
      </c>
      <c r="AO58" s="153">
        <f t="shared" si="12"/>
        <v>0</v>
      </c>
      <c r="AP58" s="153">
        <f t="shared" si="13"/>
        <v>0</v>
      </c>
      <c r="AQ58" s="153">
        <f t="shared" si="14"/>
        <v>0</v>
      </c>
      <c r="AR58" s="153">
        <f t="shared" si="15"/>
        <v>0</v>
      </c>
      <c r="AS58" s="153">
        <f t="shared" si="16"/>
        <v>0</v>
      </c>
      <c r="AT58" s="153">
        <f t="shared" si="17"/>
        <v>24310.9851428571</v>
      </c>
      <c r="AU58" s="153">
        <f t="shared" si="18"/>
        <v>0</v>
      </c>
      <c r="AV58" s="153">
        <f t="shared" si="19"/>
        <v>25746.081871344977</v>
      </c>
      <c r="AW58" s="153">
        <f t="shared" si="20"/>
        <v>0</v>
      </c>
      <c r="AX58" s="153">
        <f t="shared" si="21"/>
        <v>0</v>
      </c>
      <c r="AY58" s="153">
        <f t="shared" si="22"/>
        <v>0</v>
      </c>
      <c r="AZ58" s="153">
        <v>140000</v>
      </c>
      <c r="BA58" s="151">
        <v>3384</v>
      </c>
      <c r="BB58" s="151">
        <v>151.29</v>
      </c>
      <c r="BC58" s="153"/>
      <c r="BD58" s="153"/>
      <c r="BE58" s="153"/>
      <c r="BF58" s="153">
        <f t="shared" si="23"/>
        <v>704642.4</v>
      </c>
      <c r="BG58" s="153">
        <f t="shared" si="24"/>
        <v>63472.81814720701</v>
      </c>
      <c r="BH58" s="153">
        <f t="shared" si="25"/>
        <v>143535.29</v>
      </c>
      <c r="BI58" s="153">
        <f t="shared" si="26"/>
        <v>25746.081871344977</v>
      </c>
      <c r="BJ58" s="154">
        <f t="shared" si="27"/>
        <v>911650.5081472071</v>
      </c>
      <c r="BK58" s="154">
        <v>911650.5081472071</v>
      </c>
      <c r="BL58" s="154">
        <v>0</v>
      </c>
      <c r="BM58" s="154">
        <v>768115.218147207</v>
      </c>
      <c r="BN58" s="154">
        <v>3746.9035031571075</v>
      </c>
      <c r="BO58" s="154">
        <v>3468.273717821782</v>
      </c>
      <c r="BP58" s="155">
        <v>0.08033673464224624</v>
      </c>
      <c r="BQ58" s="155">
        <v>0</v>
      </c>
      <c r="BR58" s="154">
        <v>0</v>
      </c>
      <c r="BS58" s="156">
        <f t="shared" si="28"/>
        <v>911650.5081472071</v>
      </c>
      <c r="BT58" s="153">
        <v>-448.95</v>
      </c>
      <c r="BU58" s="153">
        <v>-250.1</v>
      </c>
      <c r="BV58" s="157">
        <f t="shared" si="29"/>
        <v>910951.4581472072</v>
      </c>
      <c r="BW58" s="80"/>
      <c r="BX58" s="208" t="e">
        <f>VLOOKUP(B58,#REF!,22,0)</f>
        <v>#REF!</v>
      </c>
      <c r="BY58" s="211"/>
      <c r="BZ58" s="103"/>
      <c r="CA58" s="103"/>
      <c r="CB58" s="127">
        <v>20000</v>
      </c>
      <c r="CD58" s="200">
        <v>12105</v>
      </c>
      <c r="CE58" s="123">
        <v>620</v>
      </c>
      <c r="CF58" s="123"/>
      <c r="CG58" s="123">
        <v>17916.666666666668</v>
      </c>
      <c r="CH58" s="123">
        <v>29935</v>
      </c>
      <c r="CI58" s="123"/>
      <c r="CJ58" s="123"/>
      <c r="CK58" s="127"/>
    </row>
    <row r="59" spans="1:89" ht="14.25">
      <c r="A59" s="185">
        <v>3123401</v>
      </c>
      <c r="B59" s="188">
        <v>3401</v>
      </c>
      <c r="C59" s="102" t="s">
        <v>28</v>
      </c>
      <c r="D59" s="189">
        <v>630</v>
      </c>
      <c r="E59" s="189">
        <v>630</v>
      </c>
      <c r="F59" s="189">
        <v>0</v>
      </c>
      <c r="G59" s="189">
        <v>0</v>
      </c>
      <c r="H59" s="189">
        <v>0</v>
      </c>
      <c r="I59" s="189">
        <v>104.49760765550239</v>
      </c>
      <c r="J59" s="189">
        <v>0</v>
      </c>
      <c r="K59" s="189">
        <v>194.00000000000006</v>
      </c>
      <c r="L59" s="189">
        <v>114.00000000000003</v>
      </c>
      <c r="M59" s="189">
        <v>204.0000000000001</v>
      </c>
      <c r="N59" s="189">
        <v>35.00000000000003</v>
      </c>
      <c r="O59" s="189">
        <v>5.000000000000002</v>
      </c>
      <c r="P59" s="189">
        <v>0</v>
      </c>
      <c r="Q59" s="189">
        <v>0</v>
      </c>
      <c r="R59" s="189">
        <v>0</v>
      </c>
      <c r="S59" s="189">
        <v>0</v>
      </c>
      <c r="T59" s="189">
        <v>0</v>
      </c>
      <c r="U59" s="189">
        <v>0</v>
      </c>
      <c r="V59" s="189">
        <v>0</v>
      </c>
      <c r="W59" s="189">
        <v>232.166666666667</v>
      </c>
      <c r="X59" s="189">
        <v>0</v>
      </c>
      <c r="Y59" s="189">
        <v>225.09240246406557</v>
      </c>
      <c r="Z59" s="189">
        <v>0</v>
      </c>
      <c r="AA59" s="189">
        <v>0</v>
      </c>
      <c r="AB59" s="189">
        <v>0</v>
      </c>
      <c r="AC59" s="152">
        <f t="shared" si="0"/>
        <v>2165486.4</v>
      </c>
      <c r="AD59" s="152">
        <f t="shared" si="1"/>
        <v>0</v>
      </c>
      <c r="AE59" s="152">
        <f t="shared" si="2"/>
        <v>0</v>
      </c>
      <c r="AF59" s="153">
        <f t="shared" si="3"/>
        <v>107751.66315789474</v>
      </c>
      <c r="AG59" s="153">
        <f t="shared" si="4"/>
        <v>0</v>
      </c>
      <c r="AH59" s="153">
        <f t="shared" si="5"/>
        <v>13075.600000000006</v>
      </c>
      <c r="AI59" s="153">
        <f t="shared" si="6"/>
        <v>15367.200000000004</v>
      </c>
      <c r="AJ59" s="153">
        <f t="shared" si="7"/>
        <v>41250.840000000026</v>
      </c>
      <c r="AK59" s="153">
        <f t="shared" si="8"/>
        <v>9436.350000000008</v>
      </c>
      <c r="AL59" s="153">
        <f t="shared" si="9"/>
        <v>1685.0500000000006</v>
      </c>
      <c r="AM59" s="153">
        <f t="shared" si="10"/>
        <v>0</v>
      </c>
      <c r="AN59" s="153">
        <f t="shared" si="11"/>
        <v>0</v>
      </c>
      <c r="AO59" s="153">
        <f t="shared" si="12"/>
        <v>0</v>
      </c>
      <c r="AP59" s="153">
        <f t="shared" si="13"/>
        <v>0</v>
      </c>
      <c r="AQ59" s="153">
        <f t="shared" si="14"/>
        <v>0</v>
      </c>
      <c r="AR59" s="153">
        <f t="shared" si="15"/>
        <v>0</v>
      </c>
      <c r="AS59" s="153">
        <f t="shared" si="16"/>
        <v>0</v>
      </c>
      <c r="AT59" s="153">
        <f t="shared" si="17"/>
        <v>178452.58666666693</v>
      </c>
      <c r="AU59" s="153">
        <f t="shared" si="18"/>
        <v>0</v>
      </c>
      <c r="AV59" s="153">
        <f t="shared" si="19"/>
        <v>138116.69815195064</v>
      </c>
      <c r="AW59" s="153">
        <f t="shared" si="20"/>
        <v>0</v>
      </c>
      <c r="AX59" s="153">
        <f t="shared" si="21"/>
        <v>0</v>
      </c>
      <c r="AY59" s="153">
        <f t="shared" si="22"/>
        <v>0</v>
      </c>
      <c r="AZ59" s="153">
        <v>140000</v>
      </c>
      <c r="BA59" s="151">
        <v>10400</v>
      </c>
      <c r="BB59" s="151">
        <v>499.2</v>
      </c>
      <c r="BC59" s="153"/>
      <c r="BD59" s="153"/>
      <c r="BE59" s="153"/>
      <c r="BF59" s="153">
        <f t="shared" si="23"/>
        <v>2165486.4</v>
      </c>
      <c r="BG59" s="153">
        <f t="shared" si="24"/>
        <v>505135.9879765123</v>
      </c>
      <c r="BH59" s="153">
        <f t="shared" si="25"/>
        <v>150899.2</v>
      </c>
      <c r="BI59" s="153">
        <f t="shared" si="26"/>
        <v>138116.69815195064</v>
      </c>
      <c r="BJ59" s="154">
        <f t="shared" si="27"/>
        <v>2821521.5879765125</v>
      </c>
      <c r="BK59" s="154">
        <v>2821521.5879765125</v>
      </c>
      <c r="BL59" s="154">
        <v>0</v>
      </c>
      <c r="BM59" s="154">
        <v>2670622.3879765123</v>
      </c>
      <c r="BN59" s="154">
        <v>4239.083155518273</v>
      </c>
      <c r="BO59" s="154">
        <v>4011.7379816</v>
      </c>
      <c r="BP59" s="155">
        <v>0.05666999563805045</v>
      </c>
      <c r="BQ59" s="155">
        <v>0</v>
      </c>
      <c r="BR59" s="154">
        <v>0</v>
      </c>
      <c r="BS59" s="156">
        <f t="shared" si="28"/>
        <v>2821521.5879765125</v>
      </c>
      <c r="BT59" s="153">
        <v>-1379.7</v>
      </c>
      <c r="BU59" s="153">
        <v>-768.6</v>
      </c>
      <c r="BV59" s="157">
        <f t="shared" si="29"/>
        <v>2819373.287976512</v>
      </c>
      <c r="BW59" s="80"/>
      <c r="BX59" s="208" t="e">
        <f>VLOOKUP(B59,#REF!,22,0)</f>
        <v>#REF!</v>
      </c>
      <c r="BY59" s="211"/>
      <c r="BZ59" s="103"/>
      <c r="CA59" s="103"/>
      <c r="CB59" s="127">
        <v>86726</v>
      </c>
      <c r="CD59" s="200">
        <v>139880</v>
      </c>
      <c r="CE59" s="123"/>
      <c r="CF59" s="123"/>
      <c r="CG59" s="123">
        <v>21912.5</v>
      </c>
      <c r="CH59" s="123">
        <v>80408</v>
      </c>
      <c r="CI59" s="123"/>
      <c r="CJ59" s="123"/>
      <c r="CK59" s="127"/>
    </row>
    <row r="60" spans="1:89" ht="14.25">
      <c r="A60" s="185">
        <v>3123402</v>
      </c>
      <c r="B60" s="188">
        <v>3402</v>
      </c>
      <c r="C60" s="102" t="s">
        <v>29</v>
      </c>
      <c r="D60" s="189">
        <v>412</v>
      </c>
      <c r="E60" s="189">
        <v>412</v>
      </c>
      <c r="F60" s="189">
        <v>0</v>
      </c>
      <c r="G60" s="189">
        <v>0</v>
      </c>
      <c r="H60" s="189">
        <v>0</v>
      </c>
      <c r="I60" s="189">
        <v>36.91041162227603</v>
      </c>
      <c r="J60" s="189">
        <v>0</v>
      </c>
      <c r="K60" s="189">
        <v>119.99999999999997</v>
      </c>
      <c r="L60" s="189">
        <v>67.99999999999984</v>
      </c>
      <c r="M60" s="189">
        <v>52.99999999999995</v>
      </c>
      <c r="N60" s="189">
        <v>5.999999999999998</v>
      </c>
      <c r="O60" s="189">
        <v>2.999999999999999</v>
      </c>
      <c r="P60" s="189">
        <v>0</v>
      </c>
      <c r="Q60" s="189">
        <v>0</v>
      </c>
      <c r="R60" s="189">
        <v>0</v>
      </c>
      <c r="S60" s="189">
        <v>0</v>
      </c>
      <c r="T60" s="189">
        <v>0</v>
      </c>
      <c r="U60" s="189">
        <v>0</v>
      </c>
      <c r="V60" s="189">
        <v>0</v>
      </c>
      <c r="W60" s="189">
        <v>52.52124645892331</v>
      </c>
      <c r="X60" s="189">
        <v>0</v>
      </c>
      <c r="Y60" s="189">
        <v>103.89565217391295</v>
      </c>
      <c r="Z60" s="189">
        <v>0</v>
      </c>
      <c r="AA60" s="189">
        <v>0</v>
      </c>
      <c r="AB60" s="189">
        <v>0</v>
      </c>
      <c r="AC60" s="152">
        <f t="shared" si="0"/>
        <v>1416159.36</v>
      </c>
      <c r="AD60" s="152">
        <f t="shared" si="1"/>
        <v>0</v>
      </c>
      <c r="AE60" s="152">
        <f t="shared" si="2"/>
        <v>0</v>
      </c>
      <c r="AF60" s="153">
        <f t="shared" si="3"/>
        <v>38059.80184019371</v>
      </c>
      <c r="AG60" s="153">
        <f t="shared" si="4"/>
        <v>0</v>
      </c>
      <c r="AH60" s="153">
        <f t="shared" si="5"/>
        <v>8087.999999999999</v>
      </c>
      <c r="AI60" s="153">
        <f t="shared" si="6"/>
        <v>9166.39999999998</v>
      </c>
      <c r="AJ60" s="153">
        <f t="shared" si="7"/>
        <v>10717.12999999999</v>
      </c>
      <c r="AK60" s="153">
        <f t="shared" si="8"/>
        <v>1617.6599999999996</v>
      </c>
      <c r="AL60" s="153">
        <f t="shared" si="9"/>
        <v>1011.0299999999996</v>
      </c>
      <c r="AM60" s="153">
        <f t="shared" si="10"/>
        <v>0</v>
      </c>
      <c r="AN60" s="153">
        <f t="shared" si="11"/>
        <v>0</v>
      </c>
      <c r="AO60" s="153">
        <f t="shared" si="12"/>
        <v>0</v>
      </c>
      <c r="AP60" s="153">
        <f t="shared" si="13"/>
        <v>0</v>
      </c>
      <c r="AQ60" s="153">
        <f t="shared" si="14"/>
        <v>0</v>
      </c>
      <c r="AR60" s="153">
        <f t="shared" si="15"/>
        <v>0</v>
      </c>
      <c r="AS60" s="153">
        <f t="shared" si="16"/>
        <v>0</v>
      </c>
      <c r="AT60" s="153">
        <f t="shared" si="17"/>
        <v>40369.93087818681</v>
      </c>
      <c r="AU60" s="153">
        <f t="shared" si="18"/>
        <v>0</v>
      </c>
      <c r="AV60" s="153">
        <f t="shared" si="19"/>
        <v>63750.37217391299</v>
      </c>
      <c r="AW60" s="153">
        <f t="shared" si="20"/>
        <v>0</v>
      </c>
      <c r="AX60" s="153">
        <f t="shared" si="21"/>
        <v>0</v>
      </c>
      <c r="AY60" s="153">
        <f t="shared" si="22"/>
        <v>0</v>
      </c>
      <c r="AZ60" s="153">
        <v>140000</v>
      </c>
      <c r="BA60" s="151">
        <v>4416</v>
      </c>
      <c r="BB60" s="151">
        <v>220.8</v>
      </c>
      <c r="BC60" s="153"/>
      <c r="BD60" s="153"/>
      <c r="BE60" s="153"/>
      <c r="BF60" s="153">
        <f t="shared" si="23"/>
        <v>1416159.36</v>
      </c>
      <c r="BG60" s="153">
        <f t="shared" si="24"/>
        <v>172780.3248922935</v>
      </c>
      <c r="BH60" s="153">
        <f t="shared" si="25"/>
        <v>144636.8</v>
      </c>
      <c r="BI60" s="153">
        <f t="shared" si="26"/>
        <v>63750.37217391299</v>
      </c>
      <c r="BJ60" s="154">
        <f t="shared" si="27"/>
        <v>1733576.4848922936</v>
      </c>
      <c r="BK60" s="154">
        <v>1733576.4848922936</v>
      </c>
      <c r="BL60" s="154">
        <v>0</v>
      </c>
      <c r="BM60" s="154">
        <v>1588939.6848922935</v>
      </c>
      <c r="BN60" s="154">
        <v>3856.649720612363</v>
      </c>
      <c r="BO60" s="154">
        <v>3602.404925</v>
      </c>
      <c r="BP60" s="155">
        <v>0.0705764068464245</v>
      </c>
      <c r="BQ60" s="155">
        <v>0</v>
      </c>
      <c r="BR60" s="154">
        <v>0</v>
      </c>
      <c r="BS60" s="156">
        <f t="shared" si="28"/>
        <v>1733576.4848922936</v>
      </c>
      <c r="BT60" s="153">
        <v>-902.28</v>
      </c>
      <c r="BU60" s="153">
        <v>-502.64</v>
      </c>
      <c r="BV60" s="157">
        <f t="shared" si="29"/>
        <v>1732171.5648922937</v>
      </c>
      <c r="BW60" s="80"/>
      <c r="BX60" s="208" t="e">
        <f>VLOOKUP(B60,#REF!,22,0)</f>
        <v>#REF!</v>
      </c>
      <c r="BY60" s="211" t="e">
        <f>VLOOKUP(B60,#REF!,11,0)</f>
        <v>#REF!</v>
      </c>
      <c r="BZ60" s="103"/>
      <c r="CA60" s="103"/>
      <c r="CB60" s="127">
        <v>56584</v>
      </c>
      <c r="CD60" s="200">
        <v>48420</v>
      </c>
      <c r="CE60" s="123">
        <v>930</v>
      </c>
      <c r="CF60" s="123">
        <v>7035</v>
      </c>
      <c r="CG60" s="123">
        <v>19874.166666666668</v>
      </c>
      <c r="CH60" s="123">
        <v>61180</v>
      </c>
      <c r="CI60" s="123"/>
      <c r="CJ60" s="123"/>
      <c r="CK60" s="127"/>
    </row>
    <row r="61" spans="1:89" ht="14.25">
      <c r="A61" s="185">
        <v>3123403</v>
      </c>
      <c r="B61" s="188">
        <v>3403</v>
      </c>
      <c r="C61" s="102" t="s">
        <v>30</v>
      </c>
      <c r="D61" s="189">
        <v>199</v>
      </c>
      <c r="E61" s="189">
        <v>199</v>
      </c>
      <c r="F61" s="189">
        <v>0</v>
      </c>
      <c r="G61" s="189">
        <v>0</v>
      </c>
      <c r="H61" s="189">
        <v>0</v>
      </c>
      <c r="I61" s="189">
        <v>34.608695652173914</v>
      </c>
      <c r="J61" s="189">
        <v>0</v>
      </c>
      <c r="K61" s="189">
        <v>13.000000000000012</v>
      </c>
      <c r="L61" s="189">
        <v>32.99999999999996</v>
      </c>
      <c r="M61" s="189">
        <v>35.999999999999936</v>
      </c>
      <c r="N61" s="189">
        <v>32.00000000000009</v>
      </c>
      <c r="O61" s="189">
        <v>29.999999999999982</v>
      </c>
      <c r="P61" s="189">
        <v>0</v>
      </c>
      <c r="Q61" s="189">
        <v>0</v>
      </c>
      <c r="R61" s="189">
        <v>0</v>
      </c>
      <c r="S61" s="189">
        <v>0</v>
      </c>
      <c r="T61" s="189">
        <v>0</v>
      </c>
      <c r="U61" s="189">
        <v>0</v>
      </c>
      <c r="V61" s="189">
        <v>0</v>
      </c>
      <c r="W61" s="189">
        <v>45.28143712574856</v>
      </c>
      <c r="X61" s="189">
        <v>0</v>
      </c>
      <c r="Y61" s="189">
        <v>81.074074074074</v>
      </c>
      <c r="Z61" s="189">
        <v>0</v>
      </c>
      <c r="AA61" s="189">
        <v>0</v>
      </c>
      <c r="AB61" s="189">
        <v>0</v>
      </c>
      <c r="AC61" s="152">
        <f t="shared" si="0"/>
        <v>684018.7200000001</v>
      </c>
      <c r="AD61" s="152">
        <f t="shared" si="1"/>
        <v>0</v>
      </c>
      <c r="AE61" s="152">
        <f t="shared" si="2"/>
        <v>0</v>
      </c>
      <c r="AF61" s="153">
        <f t="shared" si="3"/>
        <v>35686.410434782614</v>
      </c>
      <c r="AG61" s="153">
        <f t="shared" si="4"/>
        <v>0</v>
      </c>
      <c r="AH61" s="153">
        <f t="shared" si="5"/>
        <v>876.200000000001</v>
      </c>
      <c r="AI61" s="153">
        <f t="shared" si="6"/>
        <v>4448.399999999994</v>
      </c>
      <c r="AJ61" s="153">
        <f t="shared" si="7"/>
        <v>7279.559999999988</v>
      </c>
      <c r="AK61" s="153">
        <f t="shared" si="8"/>
        <v>8627.520000000026</v>
      </c>
      <c r="AL61" s="153">
        <f t="shared" si="9"/>
        <v>10110.299999999994</v>
      </c>
      <c r="AM61" s="153">
        <f t="shared" si="10"/>
        <v>0</v>
      </c>
      <c r="AN61" s="153">
        <f t="shared" si="11"/>
        <v>0</v>
      </c>
      <c r="AO61" s="153">
        <f t="shared" si="12"/>
        <v>0</v>
      </c>
      <c r="AP61" s="153">
        <f t="shared" si="13"/>
        <v>0</v>
      </c>
      <c r="AQ61" s="153">
        <f t="shared" si="14"/>
        <v>0</v>
      </c>
      <c r="AR61" s="153">
        <f t="shared" si="15"/>
        <v>0</v>
      </c>
      <c r="AS61" s="153">
        <f t="shared" si="16"/>
        <v>0</v>
      </c>
      <c r="AT61" s="153">
        <f t="shared" si="17"/>
        <v>34805.123832335375</v>
      </c>
      <c r="AU61" s="153">
        <f t="shared" si="18"/>
        <v>0</v>
      </c>
      <c r="AV61" s="153">
        <f t="shared" si="19"/>
        <v>49747.051851851815</v>
      </c>
      <c r="AW61" s="153">
        <f t="shared" si="20"/>
        <v>0</v>
      </c>
      <c r="AX61" s="153">
        <f t="shared" si="21"/>
        <v>0</v>
      </c>
      <c r="AY61" s="153">
        <f t="shared" si="22"/>
        <v>0</v>
      </c>
      <c r="AZ61" s="153">
        <v>140000</v>
      </c>
      <c r="BA61" s="151">
        <v>3336</v>
      </c>
      <c r="BB61" s="151">
        <v>67.44</v>
      </c>
      <c r="BC61" s="153"/>
      <c r="BD61" s="153"/>
      <c r="BE61" s="153"/>
      <c r="BF61" s="153">
        <f t="shared" si="23"/>
        <v>684018.7200000001</v>
      </c>
      <c r="BG61" s="153">
        <f t="shared" si="24"/>
        <v>151580.56611896981</v>
      </c>
      <c r="BH61" s="153">
        <f t="shared" si="25"/>
        <v>143403.44</v>
      </c>
      <c r="BI61" s="153">
        <f t="shared" si="26"/>
        <v>49747.051851851815</v>
      </c>
      <c r="BJ61" s="154">
        <f t="shared" si="27"/>
        <v>979002.72611897</v>
      </c>
      <c r="BK61" s="154">
        <v>979002.72611897</v>
      </c>
      <c r="BL61" s="154">
        <v>0</v>
      </c>
      <c r="BM61" s="154">
        <v>835599.28611897</v>
      </c>
      <c r="BN61" s="154">
        <v>4198.991387532513</v>
      </c>
      <c r="BO61" s="154">
        <v>3978.2491577669903</v>
      </c>
      <c r="BP61" s="155">
        <v>0.05548728121629923</v>
      </c>
      <c r="BQ61" s="155">
        <v>0</v>
      </c>
      <c r="BR61" s="154">
        <v>0</v>
      </c>
      <c r="BS61" s="156">
        <f t="shared" si="28"/>
        <v>979002.72611897</v>
      </c>
      <c r="BT61" s="153">
        <v>-435.81</v>
      </c>
      <c r="BU61" s="153">
        <v>-242.78</v>
      </c>
      <c r="BV61" s="157">
        <f t="shared" si="29"/>
        <v>978324.1361189699</v>
      </c>
      <c r="BW61" s="80"/>
      <c r="BX61" s="208" t="e">
        <f>VLOOKUP(B61,#REF!,22,0)</f>
        <v>#REF!</v>
      </c>
      <c r="BY61" s="211" t="e">
        <f>VLOOKUP(B61,#REF!,11,0)</f>
        <v>#REF!</v>
      </c>
      <c r="BZ61" s="103"/>
      <c r="CA61" s="103"/>
      <c r="CB61" s="127">
        <v>0</v>
      </c>
      <c r="CD61" s="200">
        <v>48420</v>
      </c>
      <c r="CE61" s="123">
        <v>620</v>
      </c>
      <c r="CF61" s="123"/>
      <c r="CG61" s="123">
        <v>17894.166666666668</v>
      </c>
      <c r="CH61" s="123">
        <v>30153</v>
      </c>
      <c r="CI61" s="123"/>
      <c r="CJ61" s="123"/>
      <c r="CK61" s="127"/>
    </row>
    <row r="62" spans="1:89" ht="14.25">
      <c r="A62" s="185">
        <v>3123404</v>
      </c>
      <c r="B62" s="188">
        <v>3404</v>
      </c>
      <c r="C62" s="102" t="s">
        <v>31</v>
      </c>
      <c r="D62" s="189">
        <v>212</v>
      </c>
      <c r="E62" s="189">
        <v>212</v>
      </c>
      <c r="F62" s="189">
        <v>0</v>
      </c>
      <c r="G62" s="189">
        <v>0</v>
      </c>
      <c r="H62" s="189">
        <v>0</v>
      </c>
      <c r="I62" s="189">
        <v>12.878504672897197</v>
      </c>
      <c r="J62" s="189">
        <v>0</v>
      </c>
      <c r="K62" s="189">
        <v>40.00000000000003</v>
      </c>
      <c r="L62" s="189">
        <v>50.00000000000009</v>
      </c>
      <c r="M62" s="189">
        <v>40.99999999999993</v>
      </c>
      <c r="N62" s="189">
        <v>0</v>
      </c>
      <c r="O62" s="189">
        <v>0.9999999999999996</v>
      </c>
      <c r="P62" s="189">
        <v>0</v>
      </c>
      <c r="Q62" s="189">
        <v>0</v>
      </c>
      <c r="R62" s="189">
        <v>0</v>
      </c>
      <c r="S62" s="189">
        <v>0</v>
      </c>
      <c r="T62" s="189">
        <v>0</v>
      </c>
      <c r="U62" s="189">
        <v>0</v>
      </c>
      <c r="V62" s="189">
        <v>0</v>
      </c>
      <c r="W62" s="189">
        <v>54.747252747252695</v>
      </c>
      <c r="X62" s="189">
        <v>0</v>
      </c>
      <c r="Y62" s="189">
        <v>51.502824858757144</v>
      </c>
      <c r="Z62" s="189">
        <v>0</v>
      </c>
      <c r="AA62" s="189">
        <v>0</v>
      </c>
      <c r="AB62" s="189">
        <v>0</v>
      </c>
      <c r="AC62" s="152">
        <f t="shared" si="0"/>
        <v>728703.36</v>
      </c>
      <c r="AD62" s="152">
        <f t="shared" si="1"/>
        <v>0</v>
      </c>
      <c r="AE62" s="152">
        <f t="shared" si="2"/>
        <v>0</v>
      </c>
      <c r="AF62" s="153">
        <f t="shared" si="3"/>
        <v>13279.541308411217</v>
      </c>
      <c r="AG62" s="153">
        <f t="shared" si="4"/>
        <v>0</v>
      </c>
      <c r="AH62" s="153">
        <f t="shared" si="5"/>
        <v>2696.0000000000023</v>
      </c>
      <c r="AI62" s="153">
        <f t="shared" si="6"/>
        <v>6740.000000000013</v>
      </c>
      <c r="AJ62" s="153">
        <f t="shared" si="7"/>
        <v>8290.609999999986</v>
      </c>
      <c r="AK62" s="153">
        <f t="shared" si="8"/>
        <v>0</v>
      </c>
      <c r="AL62" s="153">
        <f t="shared" si="9"/>
        <v>337.0099999999998</v>
      </c>
      <c r="AM62" s="153">
        <f t="shared" si="10"/>
        <v>0</v>
      </c>
      <c r="AN62" s="153">
        <f t="shared" si="11"/>
        <v>0</v>
      </c>
      <c r="AO62" s="153">
        <f t="shared" si="12"/>
        <v>0</v>
      </c>
      <c r="AP62" s="153">
        <f t="shared" si="13"/>
        <v>0</v>
      </c>
      <c r="AQ62" s="153">
        <f t="shared" si="14"/>
        <v>0</v>
      </c>
      <c r="AR62" s="153">
        <f t="shared" si="15"/>
        <v>0</v>
      </c>
      <c r="AS62" s="153">
        <f t="shared" si="16"/>
        <v>0</v>
      </c>
      <c r="AT62" s="153">
        <f t="shared" si="17"/>
        <v>42080.92835164831</v>
      </c>
      <c r="AU62" s="153">
        <f t="shared" si="18"/>
        <v>0</v>
      </c>
      <c r="AV62" s="153">
        <f t="shared" si="19"/>
        <v>31602.133333333386</v>
      </c>
      <c r="AW62" s="153">
        <f t="shared" si="20"/>
        <v>0</v>
      </c>
      <c r="AX62" s="153">
        <f t="shared" si="21"/>
        <v>0</v>
      </c>
      <c r="AY62" s="153">
        <f t="shared" si="22"/>
        <v>0</v>
      </c>
      <c r="AZ62" s="153">
        <v>140000</v>
      </c>
      <c r="BA62" s="151">
        <v>3975</v>
      </c>
      <c r="BB62" s="151">
        <v>1489.55</v>
      </c>
      <c r="BC62" s="153"/>
      <c r="BD62" s="153"/>
      <c r="BE62" s="153"/>
      <c r="BF62" s="153">
        <f t="shared" si="23"/>
        <v>728703.36</v>
      </c>
      <c r="BG62" s="153">
        <f t="shared" si="24"/>
        <v>105026.22299339292</v>
      </c>
      <c r="BH62" s="153">
        <f t="shared" si="25"/>
        <v>145464.55</v>
      </c>
      <c r="BI62" s="153">
        <f t="shared" si="26"/>
        <v>31602.133333333386</v>
      </c>
      <c r="BJ62" s="154">
        <f t="shared" si="27"/>
        <v>979194.1329933929</v>
      </c>
      <c r="BK62" s="154">
        <v>979194.1329933929</v>
      </c>
      <c r="BL62" s="154">
        <v>0</v>
      </c>
      <c r="BM62" s="154">
        <v>833729.5829933928</v>
      </c>
      <c r="BN62" s="154">
        <v>3932.686712232985</v>
      </c>
      <c r="BO62" s="154">
        <v>3726.421986255924</v>
      </c>
      <c r="BP62" s="155">
        <v>0.05535195067488934</v>
      </c>
      <c r="BQ62" s="155">
        <v>0</v>
      </c>
      <c r="BR62" s="154">
        <v>0</v>
      </c>
      <c r="BS62" s="156">
        <f t="shared" si="28"/>
        <v>979194.1329933929</v>
      </c>
      <c r="BT62" s="153">
        <v>-464.28</v>
      </c>
      <c r="BU62" s="153">
        <v>-258.64</v>
      </c>
      <c r="BV62" s="157">
        <f t="shared" si="29"/>
        <v>978471.2129933928</v>
      </c>
      <c r="BW62" s="80"/>
      <c r="BX62" s="208" t="e">
        <f>VLOOKUP(B62,#REF!,22,0)</f>
        <v>#REF!</v>
      </c>
      <c r="BY62" s="211"/>
      <c r="BZ62" s="103"/>
      <c r="CA62" s="103"/>
      <c r="CB62" s="127">
        <v>41100</v>
      </c>
      <c r="CD62" s="200">
        <v>17485</v>
      </c>
      <c r="CE62" s="123">
        <v>1550</v>
      </c>
      <c r="CF62" s="123">
        <v>7035</v>
      </c>
      <c r="CG62" s="123">
        <v>17999.166666666664</v>
      </c>
      <c r="CH62" s="123">
        <v>34305</v>
      </c>
      <c r="CI62" s="123"/>
      <c r="CJ62" s="123"/>
      <c r="CK62" s="127"/>
    </row>
    <row r="63" spans="1:89" ht="14.25">
      <c r="A63" s="185">
        <v>3123405</v>
      </c>
      <c r="B63" s="188">
        <v>3405</v>
      </c>
      <c r="C63" s="102" t="s">
        <v>32</v>
      </c>
      <c r="D63" s="189">
        <v>613</v>
      </c>
      <c r="E63" s="189">
        <v>613</v>
      </c>
      <c r="F63" s="189">
        <v>0</v>
      </c>
      <c r="G63" s="189">
        <v>0</v>
      </c>
      <c r="H63" s="189">
        <v>0</v>
      </c>
      <c r="I63" s="189">
        <v>34.886178861788615</v>
      </c>
      <c r="J63" s="189">
        <v>0</v>
      </c>
      <c r="K63" s="189">
        <v>54.00000000000003</v>
      </c>
      <c r="L63" s="189">
        <v>41.00000000000001</v>
      </c>
      <c r="M63" s="189">
        <v>4.9999999999999964</v>
      </c>
      <c r="N63" s="189">
        <v>0.9999999999999993</v>
      </c>
      <c r="O63" s="189">
        <v>1.9999999999999987</v>
      </c>
      <c r="P63" s="189">
        <v>0</v>
      </c>
      <c r="Q63" s="189">
        <v>0</v>
      </c>
      <c r="R63" s="189">
        <v>0</v>
      </c>
      <c r="S63" s="189">
        <v>0</v>
      </c>
      <c r="T63" s="189">
        <v>0</v>
      </c>
      <c r="U63" s="189">
        <v>0</v>
      </c>
      <c r="V63" s="189">
        <v>0</v>
      </c>
      <c r="W63" s="189">
        <v>55.08795411089866</v>
      </c>
      <c r="X63" s="189">
        <v>0</v>
      </c>
      <c r="Y63" s="189">
        <v>163.3871595330741</v>
      </c>
      <c r="Z63" s="189">
        <v>0</v>
      </c>
      <c r="AA63" s="189">
        <v>0</v>
      </c>
      <c r="AB63" s="189">
        <v>0</v>
      </c>
      <c r="AC63" s="152">
        <f t="shared" si="0"/>
        <v>2107052.64</v>
      </c>
      <c r="AD63" s="152">
        <f t="shared" si="1"/>
        <v>0</v>
      </c>
      <c r="AE63" s="152">
        <f t="shared" si="2"/>
        <v>0</v>
      </c>
      <c r="AF63" s="153">
        <f t="shared" si="3"/>
        <v>35972.53447154471</v>
      </c>
      <c r="AG63" s="153">
        <f t="shared" si="4"/>
        <v>0</v>
      </c>
      <c r="AH63" s="153">
        <f t="shared" si="5"/>
        <v>3639.600000000002</v>
      </c>
      <c r="AI63" s="153">
        <f t="shared" si="6"/>
        <v>5526.800000000001</v>
      </c>
      <c r="AJ63" s="153">
        <f t="shared" si="7"/>
        <v>1011.0499999999993</v>
      </c>
      <c r="AK63" s="153">
        <f t="shared" si="8"/>
        <v>269.60999999999984</v>
      </c>
      <c r="AL63" s="153">
        <f t="shared" si="9"/>
        <v>674.0199999999995</v>
      </c>
      <c r="AM63" s="153">
        <f t="shared" si="10"/>
        <v>0</v>
      </c>
      <c r="AN63" s="153">
        <f t="shared" si="11"/>
        <v>0</v>
      </c>
      <c r="AO63" s="153">
        <f t="shared" si="12"/>
        <v>0</v>
      </c>
      <c r="AP63" s="153">
        <f t="shared" si="13"/>
        <v>0</v>
      </c>
      <c r="AQ63" s="153">
        <f t="shared" si="14"/>
        <v>0</v>
      </c>
      <c r="AR63" s="153">
        <f t="shared" si="15"/>
        <v>0</v>
      </c>
      <c r="AS63" s="153">
        <f t="shared" si="16"/>
        <v>0</v>
      </c>
      <c r="AT63" s="153">
        <f t="shared" si="17"/>
        <v>42342.80504780114</v>
      </c>
      <c r="AU63" s="153">
        <f t="shared" si="18"/>
        <v>0</v>
      </c>
      <c r="AV63" s="153">
        <f t="shared" si="19"/>
        <v>100254.36108949428</v>
      </c>
      <c r="AW63" s="153">
        <f t="shared" si="20"/>
        <v>0</v>
      </c>
      <c r="AX63" s="153">
        <f t="shared" si="21"/>
        <v>0</v>
      </c>
      <c r="AY63" s="153">
        <f t="shared" si="22"/>
        <v>0</v>
      </c>
      <c r="AZ63" s="153">
        <v>140000</v>
      </c>
      <c r="BA63" s="151">
        <v>20200</v>
      </c>
      <c r="BB63" s="151">
        <v>5540.04</v>
      </c>
      <c r="BC63" s="153"/>
      <c r="BD63" s="153"/>
      <c r="BE63" s="153"/>
      <c r="BF63" s="153">
        <f t="shared" si="23"/>
        <v>2107052.64</v>
      </c>
      <c r="BG63" s="153">
        <f t="shared" si="24"/>
        <v>189690.78060884014</v>
      </c>
      <c r="BH63" s="153">
        <f t="shared" si="25"/>
        <v>165740.04</v>
      </c>
      <c r="BI63" s="153">
        <f t="shared" si="26"/>
        <v>100254.36108949428</v>
      </c>
      <c r="BJ63" s="154">
        <f t="shared" si="27"/>
        <v>2462483.4606088405</v>
      </c>
      <c r="BK63" s="154">
        <v>2462483.46060884</v>
      </c>
      <c r="BL63" s="154">
        <v>0</v>
      </c>
      <c r="BM63" s="154">
        <v>2296743.4206088404</v>
      </c>
      <c r="BN63" s="154">
        <v>3746.7266241579778</v>
      </c>
      <c r="BO63" s="154">
        <v>3511.6408156097564</v>
      </c>
      <c r="BP63" s="155">
        <v>0.06694471926150039</v>
      </c>
      <c r="BQ63" s="155">
        <v>0</v>
      </c>
      <c r="BR63" s="154">
        <v>0</v>
      </c>
      <c r="BS63" s="156">
        <f t="shared" si="28"/>
        <v>2462483.4606088405</v>
      </c>
      <c r="BT63" s="153">
        <v>-1342.47</v>
      </c>
      <c r="BU63" s="153">
        <v>-747.86</v>
      </c>
      <c r="BV63" s="157">
        <f t="shared" si="29"/>
        <v>2460393.1306088404</v>
      </c>
      <c r="BW63" s="80"/>
      <c r="BX63" s="208" t="e">
        <f>VLOOKUP(B63,#REF!,22,0)</f>
        <v>#REF!</v>
      </c>
      <c r="BY63" s="211"/>
      <c r="BZ63" s="103"/>
      <c r="CA63" s="103"/>
      <c r="CB63" s="127">
        <v>64867</v>
      </c>
      <c r="CD63" s="200">
        <v>43040</v>
      </c>
      <c r="CE63" s="123">
        <v>930</v>
      </c>
      <c r="CF63" s="123">
        <v>7035</v>
      </c>
      <c r="CG63" s="123">
        <v>21763.333333333336</v>
      </c>
      <c r="CH63" s="123">
        <v>89585</v>
      </c>
      <c r="CI63" s="123"/>
      <c r="CJ63" s="123"/>
      <c r="CK63" s="127"/>
    </row>
    <row r="64" spans="1:89" ht="14.25">
      <c r="A64" s="185">
        <v>3123410</v>
      </c>
      <c r="B64" s="188">
        <v>3410</v>
      </c>
      <c r="C64" s="102" t="s">
        <v>124</v>
      </c>
      <c r="D64" s="189">
        <v>386</v>
      </c>
      <c r="E64" s="189">
        <v>386</v>
      </c>
      <c r="F64" s="189">
        <v>0</v>
      </c>
      <c r="G64" s="189">
        <v>0</v>
      </c>
      <c r="H64" s="189">
        <v>0</v>
      </c>
      <c r="I64" s="189">
        <v>114.75675675675676</v>
      </c>
      <c r="J64" s="189">
        <v>0</v>
      </c>
      <c r="K64" s="189">
        <v>84.00000000000006</v>
      </c>
      <c r="L64" s="189">
        <v>213.99999999999991</v>
      </c>
      <c r="M64" s="189">
        <v>27.999999999999982</v>
      </c>
      <c r="N64" s="189">
        <v>8.000000000000012</v>
      </c>
      <c r="O64" s="189">
        <v>2.9999999999999996</v>
      </c>
      <c r="P64" s="189">
        <v>0</v>
      </c>
      <c r="Q64" s="189">
        <v>0</v>
      </c>
      <c r="R64" s="189">
        <v>0</v>
      </c>
      <c r="S64" s="189">
        <v>0</v>
      </c>
      <c r="T64" s="189">
        <v>0</v>
      </c>
      <c r="U64" s="189">
        <v>0</v>
      </c>
      <c r="V64" s="189">
        <v>0</v>
      </c>
      <c r="W64" s="189">
        <v>69.09876543209863</v>
      </c>
      <c r="X64" s="189">
        <v>0</v>
      </c>
      <c r="Y64" s="189">
        <v>111.02341137123757</v>
      </c>
      <c r="Z64" s="189">
        <v>0</v>
      </c>
      <c r="AA64" s="189">
        <v>4.839999999999982</v>
      </c>
      <c r="AB64" s="189">
        <v>0</v>
      </c>
      <c r="AC64" s="152">
        <f t="shared" si="0"/>
        <v>1326790.08</v>
      </c>
      <c r="AD64" s="152">
        <f t="shared" si="1"/>
        <v>0</v>
      </c>
      <c r="AE64" s="152">
        <f t="shared" si="2"/>
        <v>0</v>
      </c>
      <c r="AF64" s="153">
        <f t="shared" si="3"/>
        <v>118330.28216216217</v>
      </c>
      <c r="AG64" s="153">
        <f t="shared" si="4"/>
        <v>0</v>
      </c>
      <c r="AH64" s="153">
        <f t="shared" si="5"/>
        <v>5661.600000000004</v>
      </c>
      <c r="AI64" s="153">
        <f t="shared" si="6"/>
        <v>28847.19999999999</v>
      </c>
      <c r="AJ64" s="153">
        <f t="shared" si="7"/>
        <v>5661.8799999999965</v>
      </c>
      <c r="AK64" s="153">
        <f t="shared" si="8"/>
        <v>2156.8800000000033</v>
      </c>
      <c r="AL64" s="153">
        <f t="shared" si="9"/>
        <v>1011.0299999999999</v>
      </c>
      <c r="AM64" s="153">
        <f t="shared" si="10"/>
        <v>0</v>
      </c>
      <c r="AN64" s="153">
        <f t="shared" si="11"/>
        <v>0</v>
      </c>
      <c r="AO64" s="153">
        <f t="shared" si="12"/>
        <v>0</v>
      </c>
      <c r="AP64" s="153">
        <f t="shared" si="13"/>
        <v>0</v>
      </c>
      <c r="AQ64" s="153">
        <f t="shared" si="14"/>
        <v>0</v>
      </c>
      <c r="AR64" s="153">
        <f t="shared" si="15"/>
        <v>0</v>
      </c>
      <c r="AS64" s="153">
        <f t="shared" si="16"/>
        <v>0</v>
      </c>
      <c r="AT64" s="153">
        <f t="shared" si="17"/>
        <v>53112.07506172829</v>
      </c>
      <c r="AU64" s="153">
        <f t="shared" si="18"/>
        <v>0</v>
      </c>
      <c r="AV64" s="153">
        <f t="shared" si="19"/>
        <v>68123.96521739138</v>
      </c>
      <c r="AW64" s="153">
        <f t="shared" si="20"/>
        <v>0</v>
      </c>
      <c r="AX64" s="153">
        <f t="shared" si="21"/>
        <v>4026.879999999985</v>
      </c>
      <c r="AY64" s="153">
        <f t="shared" si="22"/>
        <v>0</v>
      </c>
      <c r="AZ64" s="153">
        <v>140000</v>
      </c>
      <c r="BA64" s="151">
        <v>9550</v>
      </c>
      <c r="BB64" s="151">
        <v>-110.64</v>
      </c>
      <c r="BC64" s="153"/>
      <c r="BD64" s="153"/>
      <c r="BE64" s="153"/>
      <c r="BF64" s="153">
        <f t="shared" si="23"/>
        <v>1326790.08</v>
      </c>
      <c r="BG64" s="153">
        <f t="shared" si="24"/>
        <v>286931.79244128184</v>
      </c>
      <c r="BH64" s="153">
        <f t="shared" si="25"/>
        <v>149439.36</v>
      </c>
      <c r="BI64" s="153">
        <f t="shared" si="26"/>
        <v>68123.96521739138</v>
      </c>
      <c r="BJ64" s="154">
        <f t="shared" si="27"/>
        <v>1763161.232441282</v>
      </c>
      <c r="BK64" s="154">
        <v>1763161.2324412814</v>
      </c>
      <c r="BL64" s="154">
        <v>0</v>
      </c>
      <c r="BM64" s="154">
        <v>1613721.8724412818</v>
      </c>
      <c r="BN64" s="154">
        <v>4180.626612542181</v>
      </c>
      <c r="BO64" s="154">
        <v>4001.397067493797</v>
      </c>
      <c r="BP64" s="155">
        <v>0.044791741990414635</v>
      </c>
      <c r="BQ64" s="155">
        <v>0</v>
      </c>
      <c r="BR64" s="154">
        <v>0</v>
      </c>
      <c r="BS64" s="156">
        <f t="shared" si="28"/>
        <v>1763161.232441282</v>
      </c>
      <c r="BT64" s="153">
        <v>0</v>
      </c>
      <c r="BU64" s="153">
        <v>0</v>
      </c>
      <c r="BV64" s="157">
        <f t="shared" si="29"/>
        <v>1763161.232441282</v>
      </c>
      <c r="BW64" s="80"/>
      <c r="BX64" s="208" t="e">
        <f>VLOOKUP(B64,#REF!,22,0)</f>
        <v>#REF!</v>
      </c>
      <c r="BY64" s="211" t="e">
        <f>VLOOKUP(B64,#REF!,11,0)</f>
        <v>#REF!</v>
      </c>
      <c r="BZ64" s="103"/>
      <c r="CA64" s="103"/>
      <c r="CB64" s="127">
        <v>53484</v>
      </c>
      <c r="CD64" s="200"/>
      <c r="CE64" s="123"/>
      <c r="CF64" s="123"/>
      <c r="CG64" s="123"/>
      <c r="CH64" s="123"/>
      <c r="CI64" s="123"/>
      <c r="CJ64" s="123"/>
      <c r="CK64" s="127"/>
    </row>
    <row r="65" spans="1:89" ht="14.25">
      <c r="A65" s="185">
        <v>3124000</v>
      </c>
      <c r="B65" s="188">
        <v>4000</v>
      </c>
      <c r="C65" s="102" t="s">
        <v>134</v>
      </c>
      <c r="D65" s="189">
        <v>85</v>
      </c>
      <c r="E65" s="189">
        <v>0</v>
      </c>
      <c r="F65" s="189">
        <v>85</v>
      </c>
      <c r="G65" s="189">
        <v>29</v>
      </c>
      <c r="H65" s="189">
        <v>56</v>
      </c>
      <c r="I65" s="189">
        <v>0</v>
      </c>
      <c r="J65" s="189">
        <v>35.52238805970149</v>
      </c>
      <c r="K65" s="189">
        <v>0</v>
      </c>
      <c r="L65" s="189">
        <v>0</v>
      </c>
      <c r="M65" s="189">
        <v>0</v>
      </c>
      <c r="N65" s="189">
        <v>0</v>
      </c>
      <c r="O65" s="189">
        <v>0</v>
      </c>
      <c r="P65" s="189">
        <v>0</v>
      </c>
      <c r="Q65" s="189">
        <v>23.000000000000032</v>
      </c>
      <c r="R65" s="189">
        <v>20.000000000000014</v>
      </c>
      <c r="S65" s="189">
        <v>17</v>
      </c>
      <c r="T65" s="189">
        <v>7.000000000000001</v>
      </c>
      <c r="U65" s="189">
        <v>0.9999999999999964</v>
      </c>
      <c r="V65" s="189">
        <v>0</v>
      </c>
      <c r="W65" s="189">
        <v>0</v>
      </c>
      <c r="X65" s="189">
        <v>25.99999999999996</v>
      </c>
      <c r="Y65" s="189">
        <v>0</v>
      </c>
      <c r="Z65" s="189">
        <v>37.42840237083334</v>
      </c>
      <c r="AA65" s="189">
        <v>0</v>
      </c>
      <c r="AB65" s="189">
        <v>0</v>
      </c>
      <c r="AC65" s="152">
        <f t="shared" si="0"/>
        <v>0</v>
      </c>
      <c r="AD65" s="152">
        <f t="shared" si="1"/>
        <v>129252.41999999998</v>
      </c>
      <c r="AE65" s="152">
        <f t="shared" si="2"/>
        <v>285246.08</v>
      </c>
      <c r="AF65" s="153">
        <f t="shared" si="3"/>
        <v>0</v>
      </c>
      <c r="AG65" s="153">
        <f t="shared" si="4"/>
        <v>47617.05074626866</v>
      </c>
      <c r="AH65" s="153">
        <f t="shared" si="5"/>
        <v>0</v>
      </c>
      <c r="AI65" s="153">
        <f t="shared" si="6"/>
        <v>0</v>
      </c>
      <c r="AJ65" s="153">
        <f t="shared" si="7"/>
        <v>0</v>
      </c>
      <c r="AK65" s="153">
        <f t="shared" si="8"/>
        <v>0</v>
      </c>
      <c r="AL65" s="153">
        <f t="shared" si="9"/>
        <v>0</v>
      </c>
      <c r="AM65" s="153">
        <f t="shared" si="10"/>
        <v>0</v>
      </c>
      <c r="AN65" s="153">
        <f t="shared" si="11"/>
        <v>2015.260000000003</v>
      </c>
      <c r="AO65" s="153">
        <f t="shared" si="12"/>
        <v>3505.0000000000023</v>
      </c>
      <c r="AP65" s="153">
        <f t="shared" si="13"/>
        <v>4468.79</v>
      </c>
      <c r="AQ65" s="153">
        <f t="shared" si="14"/>
        <v>2453.4300000000003</v>
      </c>
      <c r="AR65" s="153">
        <f t="shared" si="15"/>
        <v>438.1099999999985</v>
      </c>
      <c r="AS65" s="153">
        <f t="shared" si="16"/>
        <v>0</v>
      </c>
      <c r="AT65" s="153">
        <f t="shared" si="17"/>
        <v>0</v>
      </c>
      <c r="AU65" s="153">
        <f t="shared" si="18"/>
        <v>30112.939999999955</v>
      </c>
      <c r="AV65" s="153">
        <f t="shared" si="19"/>
        <v>0</v>
      </c>
      <c r="AW65" s="153">
        <f t="shared" si="20"/>
        <v>64227.13846835001</v>
      </c>
      <c r="AX65" s="153">
        <f t="shared" si="21"/>
        <v>0</v>
      </c>
      <c r="AY65" s="153">
        <f t="shared" si="22"/>
        <v>0</v>
      </c>
      <c r="AZ65" s="153">
        <v>140000</v>
      </c>
      <c r="BA65" s="151">
        <v>0</v>
      </c>
      <c r="BB65" s="151">
        <v>0</v>
      </c>
      <c r="BC65" s="153"/>
      <c r="BD65" s="153"/>
      <c r="BE65" s="153"/>
      <c r="BF65" s="153">
        <f t="shared" si="23"/>
        <v>414498.5</v>
      </c>
      <c r="BG65" s="153">
        <f t="shared" si="24"/>
        <v>154837.7192146186</v>
      </c>
      <c r="BH65" s="153">
        <f t="shared" si="25"/>
        <v>140000</v>
      </c>
      <c r="BI65" s="153">
        <f t="shared" si="26"/>
        <v>64227.13846835001</v>
      </c>
      <c r="BJ65" s="154">
        <f t="shared" si="27"/>
        <v>709336.2192146187</v>
      </c>
      <c r="BK65" s="154">
        <v>0</v>
      </c>
      <c r="BL65" s="154">
        <v>709336.7792146185</v>
      </c>
      <c r="BM65" s="154">
        <v>569336.7792146185</v>
      </c>
      <c r="BN65" s="154">
        <v>6698.0797554661</v>
      </c>
      <c r="BO65" s="154">
        <v>7126.876714545455</v>
      </c>
      <c r="BP65" s="155">
        <v>-0.060166181660503554</v>
      </c>
      <c r="BQ65" s="155">
        <v>0.06516618166050356</v>
      </c>
      <c r="BR65" s="154">
        <v>39476.664125426956</v>
      </c>
      <c r="BS65" s="156">
        <f t="shared" si="28"/>
        <v>748812.8833400456</v>
      </c>
      <c r="BT65" s="153">
        <v>0</v>
      </c>
      <c r="BU65" s="153">
        <v>0</v>
      </c>
      <c r="BV65" s="157">
        <f t="shared" si="29"/>
        <v>748812.8833400456</v>
      </c>
      <c r="BW65" s="80"/>
      <c r="BX65" s="208"/>
      <c r="BY65" s="211"/>
      <c r="BZ65" s="103"/>
      <c r="CA65" s="103"/>
      <c r="CB65" s="127">
        <v>8500</v>
      </c>
      <c r="CD65" s="200"/>
      <c r="CE65" s="123"/>
      <c r="CF65" s="123"/>
      <c r="CG65" s="123"/>
      <c r="CH65" s="123"/>
      <c r="CI65" s="123"/>
      <c r="CJ65" s="123"/>
      <c r="CK65" s="127"/>
    </row>
    <row r="66" spans="1:89" ht="14.25">
      <c r="A66" s="185">
        <v>3124009</v>
      </c>
      <c r="B66" s="188">
        <v>4009</v>
      </c>
      <c r="C66" s="102" t="s">
        <v>145</v>
      </c>
      <c r="D66" s="189">
        <v>104</v>
      </c>
      <c r="E66" s="189">
        <v>0</v>
      </c>
      <c r="F66" s="189">
        <v>104</v>
      </c>
      <c r="G66" s="189">
        <v>32</v>
      </c>
      <c r="H66" s="189">
        <v>72</v>
      </c>
      <c r="I66" s="189">
        <v>0</v>
      </c>
      <c r="J66" s="189">
        <v>38.07142857142857</v>
      </c>
      <c r="K66" s="189">
        <v>0</v>
      </c>
      <c r="L66" s="189">
        <v>0</v>
      </c>
      <c r="M66" s="189">
        <v>0</v>
      </c>
      <c r="N66" s="189">
        <v>0</v>
      </c>
      <c r="O66" s="189">
        <v>0</v>
      </c>
      <c r="P66" s="189">
        <v>0</v>
      </c>
      <c r="Q66" s="189">
        <v>26</v>
      </c>
      <c r="R66" s="189">
        <v>27.000000000000043</v>
      </c>
      <c r="S66" s="189">
        <v>19.000000000000032</v>
      </c>
      <c r="T66" s="189">
        <v>7</v>
      </c>
      <c r="U66" s="189">
        <v>4.0000000000000036</v>
      </c>
      <c r="V66" s="189">
        <v>0</v>
      </c>
      <c r="W66" s="189">
        <v>0</v>
      </c>
      <c r="X66" s="189">
        <v>17.99999999999999</v>
      </c>
      <c r="Y66" s="189">
        <v>0</v>
      </c>
      <c r="Z66" s="189">
        <v>28.363871330574717</v>
      </c>
      <c r="AA66" s="189">
        <v>0</v>
      </c>
      <c r="AB66" s="189">
        <v>0</v>
      </c>
      <c r="AC66" s="152">
        <f t="shared" si="0"/>
        <v>0</v>
      </c>
      <c r="AD66" s="152">
        <f t="shared" si="1"/>
        <v>142623.36</v>
      </c>
      <c r="AE66" s="152">
        <f t="shared" si="2"/>
        <v>366744.96</v>
      </c>
      <c r="AF66" s="153">
        <f t="shared" si="3"/>
        <v>0</v>
      </c>
      <c r="AG66" s="153">
        <f t="shared" si="4"/>
        <v>51033.98857142857</v>
      </c>
      <c r="AH66" s="153">
        <f t="shared" si="5"/>
        <v>0</v>
      </c>
      <c r="AI66" s="153">
        <f t="shared" si="6"/>
        <v>0</v>
      </c>
      <c r="AJ66" s="153">
        <f t="shared" si="7"/>
        <v>0</v>
      </c>
      <c r="AK66" s="153">
        <f t="shared" si="8"/>
        <v>0</v>
      </c>
      <c r="AL66" s="153">
        <f t="shared" si="9"/>
        <v>0</v>
      </c>
      <c r="AM66" s="153">
        <f t="shared" si="10"/>
        <v>0</v>
      </c>
      <c r="AN66" s="153">
        <f t="shared" si="11"/>
        <v>2278.12</v>
      </c>
      <c r="AO66" s="153">
        <f t="shared" si="12"/>
        <v>4731.750000000007</v>
      </c>
      <c r="AP66" s="153">
        <f t="shared" si="13"/>
        <v>4994.530000000009</v>
      </c>
      <c r="AQ66" s="153">
        <f t="shared" si="14"/>
        <v>2453.4300000000003</v>
      </c>
      <c r="AR66" s="153">
        <f t="shared" si="15"/>
        <v>1752.4400000000016</v>
      </c>
      <c r="AS66" s="153">
        <f t="shared" si="16"/>
        <v>0</v>
      </c>
      <c r="AT66" s="153">
        <f t="shared" si="17"/>
        <v>0</v>
      </c>
      <c r="AU66" s="153">
        <f t="shared" si="18"/>
        <v>20847.419999999987</v>
      </c>
      <c r="AV66" s="153">
        <f t="shared" si="19"/>
        <v>0</v>
      </c>
      <c r="AW66" s="153">
        <f t="shared" si="20"/>
        <v>48672.403203266214</v>
      </c>
      <c r="AX66" s="153">
        <f t="shared" si="21"/>
        <v>0</v>
      </c>
      <c r="AY66" s="153">
        <f t="shared" si="22"/>
        <v>0</v>
      </c>
      <c r="AZ66" s="153">
        <v>140000</v>
      </c>
      <c r="BA66" s="151">
        <v>0</v>
      </c>
      <c r="BB66" s="151">
        <v>0</v>
      </c>
      <c r="BC66" s="153"/>
      <c r="BD66" s="153"/>
      <c r="BE66" s="153"/>
      <c r="BF66" s="153">
        <f t="shared" si="23"/>
        <v>509368.32</v>
      </c>
      <c r="BG66" s="153">
        <f t="shared" si="24"/>
        <v>136764.0817746948</v>
      </c>
      <c r="BH66" s="153">
        <f t="shared" si="25"/>
        <v>140000</v>
      </c>
      <c r="BI66" s="153">
        <f t="shared" si="26"/>
        <v>48672.403203266214</v>
      </c>
      <c r="BJ66" s="154">
        <f t="shared" si="27"/>
        <v>786132.4017746948</v>
      </c>
      <c r="BK66" s="154">
        <v>0</v>
      </c>
      <c r="BL66" s="154">
        <v>786133.1217746948</v>
      </c>
      <c r="BM66" s="154">
        <v>646133.1217746948</v>
      </c>
      <c r="BN66" s="154">
        <v>6212.818478602834</v>
      </c>
      <c r="BO66" s="154">
        <v>6008.658408</v>
      </c>
      <c r="BP66" s="155">
        <v>0.033977646379599935</v>
      </c>
      <c r="BQ66" s="155">
        <v>0</v>
      </c>
      <c r="BR66" s="154">
        <v>0</v>
      </c>
      <c r="BS66" s="156">
        <f t="shared" si="28"/>
        <v>786132.4017746948</v>
      </c>
      <c r="BT66" s="153">
        <v>0</v>
      </c>
      <c r="BU66" s="153">
        <v>0</v>
      </c>
      <c r="BV66" s="157">
        <f t="shared" si="29"/>
        <v>786132.4017746948</v>
      </c>
      <c r="BW66" s="80"/>
      <c r="BX66" s="208"/>
      <c r="BY66" s="211"/>
      <c r="BZ66" s="103"/>
      <c r="CA66" s="103"/>
      <c r="CB66" s="127">
        <v>0</v>
      </c>
      <c r="CD66" s="200"/>
      <c r="CE66" s="123"/>
      <c r="CF66" s="123"/>
      <c r="CG66" s="123"/>
      <c r="CH66" s="123"/>
      <c r="CI66" s="123"/>
      <c r="CJ66" s="123"/>
      <c r="CK66" s="127"/>
    </row>
    <row r="67" spans="1:89" ht="14.25">
      <c r="A67" s="185">
        <v>3124014</v>
      </c>
      <c r="B67" s="188">
        <v>4014</v>
      </c>
      <c r="C67" s="102" t="s">
        <v>183</v>
      </c>
      <c r="D67" s="189">
        <v>135</v>
      </c>
      <c r="E67" s="189">
        <v>0</v>
      </c>
      <c r="F67" s="189">
        <v>135</v>
      </c>
      <c r="G67" s="189">
        <v>0</v>
      </c>
      <c r="H67" s="189">
        <v>135</v>
      </c>
      <c r="I67" s="189">
        <v>0</v>
      </c>
      <c r="J67" s="189">
        <v>38.00000000000007</v>
      </c>
      <c r="K67" s="189">
        <v>0</v>
      </c>
      <c r="L67" s="189">
        <v>0</v>
      </c>
      <c r="M67" s="189">
        <v>0</v>
      </c>
      <c r="N67" s="189">
        <v>0</v>
      </c>
      <c r="O67" s="189">
        <v>0</v>
      </c>
      <c r="P67" s="189">
        <v>0</v>
      </c>
      <c r="Q67" s="189">
        <v>15.22556390977443</v>
      </c>
      <c r="R67" s="189">
        <v>18.27067669172937</v>
      </c>
      <c r="S67" s="189">
        <v>21.315789473684177</v>
      </c>
      <c r="T67" s="189">
        <v>9.135338345864657</v>
      </c>
      <c r="U67" s="189">
        <v>6.090225563909772</v>
      </c>
      <c r="V67" s="189">
        <v>1.015037593984962</v>
      </c>
      <c r="W67" s="189">
        <v>0</v>
      </c>
      <c r="X67" s="189">
        <v>8.000000000000005</v>
      </c>
      <c r="Y67" s="189">
        <v>0</v>
      </c>
      <c r="Z67" s="189">
        <v>29.327597166072703</v>
      </c>
      <c r="AA67" s="189">
        <v>0</v>
      </c>
      <c r="AB67" s="189">
        <v>0</v>
      </c>
      <c r="AC67" s="152">
        <f t="shared" si="0"/>
        <v>0</v>
      </c>
      <c r="AD67" s="152">
        <f t="shared" si="1"/>
        <v>0</v>
      </c>
      <c r="AE67" s="152">
        <f t="shared" si="2"/>
        <v>687646.8</v>
      </c>
      <c r="AF67" s="153">
        <f t="shared" si="3"/>
        <v>0</v>
      </c>
      <c r="AG67" s="153">
        <f t="shared" si="4"/>
        <v>50938.24000000009</v>
      </c>
      <c r="AH67" s="153">
        <f t="shared" si="5"/>
        <v>0</v>
      </c>
      <c r="AI67" s="153">
        <f t="shared" si="6"/>
        <v>0</v>
      </c>
      <c r="AJ67" s="153">
        <f t="shared" si="7"/>
        <v>0</v>
      </c>
      <c r="AK67" s="153">
        <f t="shared" si="8"/>
        <v>0</v>
      </c>
      <c r="AL67" s="153">
        <f t="shared" si="9"/>
        <v>0</v>
      </c>
      <c r="AM67" s="153">
        <f t="shared" si="10"/>
        <v>0</v>
      </c>
      <c r="AN67" s="153">
        <f t="shared" si="11"/>
        <v>1334.0639097744356</v>
      </c>
      <c r="AO67" s="153">
        <f t="shared" si="12"/>
        <v>3201.936090225572</v>
      </c>
      <c r="AP67" s="153">
        <f t="shared" si="13"/>
        <v>5603.28157894736</v>
      </c>
      <c r="AQ67" s="153">
        <f t="shared" si="14"/>
        <v>3201.844736842104</v>
      </c>
      <c r="AR67" s="153">
        <f t="shared" si="15"/>
        <v>2668.1887218045104</v>
      </c>
      <c r="AS67" s="153">
        <f t="shared" si="16"/>
        <v>533.645864661654</v>
      </c>
      <c r="AT67" s="153">
        <f t="shared" si="17"/>
        <v>0</v>
      </c>
      <c r="AU67" s="153">
        <f t="shared" si="18"/>
        <v>9265.520000000006</v>
      </c>
      <c r="AV67" s="153">
        <f t="shared" si="19"/>
        <v>0</v>
      </c>
      <c r="AW67" s="153">
        <f t="shared" si="20"/>
        <v>50326.15673698076</v>
      </c>
      <c r="AX67" s="153">
        <f t="shared" si="21"/>
        <v>0</v>
      </c>
      <c r="AY67" s="153">
        <f t="shared" si="22"/>
        <v>0</v>
      </c>
      <c r="AZ67" s="153">
        <v>140000</v>
      </c>
      <c r="BA67" s="151">
        <v>40750</v>
      </c>
      <c r="BB67" s="151">
        <v>2468.28</v>
      </c>
      <c r="BC67" s="153"/>
      <c r="BD67" s="153"/>
      <c r="BE67" s="153"/>
      <c r="BF67" s="153">
        <f t="shared" si="23"/>
        <v>687646.8</v>
      </c>
      <c r="BG67" s="153">
        <f t="shared" si="24"/>
        <v>127072.8776392365</v>
      </c>
      <c r="BH67" s="153">
        <f t="shared" si="25"/>
        <v>183218.28</v>
      </c>
      <c r="BI67" s="153">
        <f t="shared" si="26"/>
        <v>50326.15673698076</v>
      </c>
      <c r="BJ67" s="154">
        <f t="shared" si="27"/>
        <v>997937.9576392366</v>
      </c>
      <c r="BK67" s="154">
        <v>0</v>
      </c>
      <c r="BL67" s="154">
        <v>997939.3076392364</v>
      </c>
      <c r="BM67" s="154">
        <v>814721.0276392364</v>
      </c>
      <c r="BN67" s="154">
        <v>6034.970575105455</v>
      </c>
      <c r="BO67" s="154">
        <v>5652.046717763158</v>
      </c>
      <c r="BP67" s="155">
        <v>0.06774959169018376</v>
      </c>
      <c r="BQ67" s="155">
        <v>0</v>
      </c>
      <c r="BR67" s="154">
        <v>0</v>
      </c>
      <c r="BS67" s="156">
        <f t="shared" si="28"/>
        <v>997937.9576392366</v>
      </c>
      <c r="BT67" s="153">
        <v>0</v>
      </c>
      <c r="BU67" s="153">
        <v>0</v>
      </c>
      <c r="BV67" s="157">
        <f t="shared" si="29"/>
        <v>997937.9576392366</v>
      </c>
      <c r="BW67" s="80"/>
      <c r="BX67" s="208"/>
      <c r="BY67" s="211"/>
      <c r="BZ67" s="103"/>
      <c r="CA67" s="103"/>
      <c r="CB67" s="127">
        <v>34960</v>
      </c>
      <c r="CD67" s="200"/>
      <c r="CE67" s="123"/>
      <c r="CF67" s="123"/>
      <c r="CG67" s="123"/>
      <c r="CH67" s="123"/>
      <c r="CI67" s="123"/>
      <c r="CJ67" s="123"/>
      <c r="CK67" s="127"/>
    </row>
    <row r="68" spans="1:89" ht="14.25">
      <c r="A68" s="185">
        <v>3124021</v>
      </c>
      <c r="B68" s="188">
        <v>4021</v>
      </c>
      <c r="C68" s="122" t="s">
        <v>192</v>
      </c>
      <c r="D68" s="189">
        <v>709</v>
      </c>
      <c r="E68" s="189">
        <v>0</v>
      </c>
      <c r="F68" s="189">
        <v>709</v>
      </c>
      <c r="G68" s="189">
        <v>452</v>
      </c>
      <c r="H68" s="189">
        <v>257</v>
      </c>
      <c r="I68" s="189">
        <v>0</v>
      </c>
      <c r="J68" s="189">
        <v>343.06451612903226</v>
      </c>
      <c r="K68" s="189">
        <v>0</v>
      </c>
      <c r="L68" s="189">
        <v>0</v>
      </c>
      <c r="M68" s="189">
        <v>0</v>
      </c>
      <c r="N68" s="189">
        <v>0</v>
      </c>
      <c r="O68" s="189">
        <v>0</v>
      </c>
      <c r="P68" s="189">
        <v>0</v>
      </c>
      <c r="Q68" s="189">
        <v>72.99999999999976</v>
      </c>
      <c r="R68" s="189">
        <v>202.0000000000002</v>
      </c>
      <c r="S68" s="189">
        <v>215.00000000000006</v>
      </c>
      <c r="T68" s="189">
        <v>106.00000000000003</v>
      </c>
      <c r="U68" s="189">
        <v>14.00000000000003</v>
      </c>
      <c r="V68" s="189">
        <v>0</v>
      </c>
      <c r="W68" s="189">
        <v>0</v>
      </c>
      <c r="X68" s="189">
        <v>49.13861386138613</v>
      </c>
      <c r="Y68" s="189">
        <v>0</v>
      </c>
      <c r="Z68" s="189">
        <v>184.01963865505155</v>
      </c>
      <c r="AA68" s="189">
        <v>0</v>
      </c>
      <c r="AB68" s="189">
        <v>0</v>
      </c>
      <c r="AC68" s="152">
        <f t="shared" si="0"/>
        <v>0</v>
      </c>
      <c r="AD68" s="152">
        <f t="shared" si="1"/>
        <v>2014554.9599999997</v>
      </c>
      <c r="AE68" s="152">
        <f t="shared" si="2"/>
        <v>1309075.76</v>
      </c>
      <c r="AF68" s="153">
        <f t="shared" si="3"/>
        <v>0</v>
      </c>
      <c r="AG68" s="153">
        <f t="shared" si="4"/>
        <v>459871.12258064514</v>
      </c>
      <c r="AH68" s="153">
        <f t="shared" si="5"/>
        <v>0</v>
      </c>
      <c r="AI68" s="153">
        <f t="shared" si="6"/>
        <v>0</v>
      </c>
      <c r="AJ68" s="153">
        <f t="shared" si="7"/>
        <v>0</v>
      </c>
      <c r="AK68" s="153">
        <f t="shared" si="8"/>
        <v>0</v>
      </c>
      <c r="AL68" s="153">
        <f t="shared" si="9"/>
        <v>0</v>
      </c>
      <c r="AM68" s="153">
        <f t="shared" si="10"/>
        <v>0</v>
      </c>
      <c r="AN68" s="153">
        <f t="shared" si="11"/>
        <v>6396.259999999979</v>
      </c>
      <c r="AO68" s="153">
        <f t="shared" si="12"/>
        <v>35400.50000000004</v>
      </c>
      <c r="AP68" s="153">
        <f t="shared" si="13"/>
        <v>56517.05000000002</v>
      </c>
      <c r="AQ68" s="153">
        <f t="shared" si="14"/>
        <v>37151.94000000001</v>
      </c>
      <c r="AR68" s="153">
        <f t="shared" si="15"/>
        <v>6133.540000000014</v>
      </c>
      <c r="AS68" s="153">
        <f t="shared" si="16"/>
        <v>0</v>
      </c>
      <c r="AT68" s="153">
        <f t="shared" si="17"/>
        <v>0</v>
      </c>
      <c r="AU68" s="153">
        <f t="shared" si="18"/>
        <v>56911.85118811881</v>
      </c>
      <c r="AV68" s="153">
        <f t="shared" si="19"/>
        <v>0</v>
      </c>
      <c r="AW68" s="153">
        <f t="shared" si="20"/>
        <v>315777.69993206847</v>
      </c>
      <c r="AX68" s="153">
        <f t="shared" si="21"/>
        <v>0</v>
      </c>
      <c r="AY68" s="153">
        <f t="shared" si="22"/>
        <v>0</v>
      </c>
      <c r="AZ68" s="153">
        <v>140000</v>
      </c>
      <c r="BA68" s="151">
        <v>38000</v>
      </c>
      <c r="BB68" s="151">
        <v>10634.68</v>
      </c>
      <c r="BC68" s="153"/>
      <c r="BD68" s="153"/>
      <c r="BE68" s="153"/>
      <c r="BF68" s="153">
        <f t="shared" si="23"/>
        <v>3323630.7199999997</v>
      </c>
      <c r="BG68" s="153">
        <f t="shared" si="24"/>
        <v>974159.9637008326</v>
      </c>
      <c r="BH68" s="153">
        <f t="shared" si="25"/>
        <v>188634.68</v>
      </c>
      <c r="BI68" s="153">
        <f t="shared" si="26"/>
        <v>315777.69993206847</v>
      </c>
      <c r="BJ68" s="154">
        <f t="shared" si="27"/>
        <v>4486425.363700832</v>
      </c>
      <c r="BK68" s="154">
        <v>0</v>
      </c>
      <c r="BL68" s="154">
        <v>4486427.933700832</v>
      </c>
      <c r="BM68" s="154">
        <v>4297793.253700832</v>
      </c>
      <c r="BN68" s="154">
        <v>6061.767635685235</v>
      </c>
      <c r="BO68" s="154">
        <v>5702.568694359757</v>
      </c>
      <c r="BP68" s="155">
        <v>0.06298897226450807</v>
      </c>
      <c r="BQ68" s="155">
        <v>0</v>
      </c>
      <c r="BR68" s="154">
        <v>0</v>
      </c>
      <c r="BS68" s="156">
        <f t="shared" si="28"/>
        <v>4486425.363700832</v>
      </c>
      <c r="BT68" s="153">
        <v>0</v>
      </c>
      <c r="BU68" s="153">
        <v>0</v>
      </c>
      <c r="BV68" s="157">
        <f t="shared" si="29"/>
        <v>4486425.363700832</v>
      </c>
      <c r="BW68" s="80"/>
      <c r="BX68" s="208"/>
      <c r="BY68" s="211"/>
      <c r="BZ68" s="103"/>
      <c r="CA68" s="103"/>
      <c r="CB68" s="127">
        <v>54900</v>
      </c>
      <c r="CD68" s="200"/>
      <c r="CE68" s="123"/>
      <c r="CF68" s="123"/>
      <c r="CG68" s="123"/>
      <c r="CH68" s="123"/>
      <c r="CI68" s="123"/>
      <c r="CJ68" s="123"/>
      <c r="CK68" s="127"/>
    </row>
    <row r="69" spans="1:89" ht="14.25">
      <c r="A69" s="185">
        <v>3124023</v>
      </c>
      <c r="B69" s="188">
        <v>4023</v>
      </c>
      <c r="C69" s="102" t="s">
        <v>41</v>
      </c>
      <c r="D69" s="189">
        <v>929</v>
      </c>
      <c r="E69" s="189">
        <v>0</v>
      </c>
      <c r="F69" s="189">
        <v>929</v>
      </c>
      <c r="G69" s="189">
        <v>566</v>
      </c>
      <c r="H69" s="189">
        <v>363</v>
      </c>
      <c r="I69" s="189">
        <v>0</v>
      </c>
      <c r="J69" s="189">
        <v>208.5088888888889</v>
      </c>
      <c r="K69" s="189">
        <v>0</v>
      </c>
      <c r="L69" s="189">
        <v>0</v>
      </c>
      <c r="M69" s="189">
        <v>0</v>
      </c>
      <c r="N69" s="189">
        <v>0</v>
      </c>
      <c r="O69" s="189">
        <v>0</v>
      </c>
      <c r="P69" s="189">
        <v>0</v>
      </c>
      <c r="Q69" s="189">
        <v>81.00000000000006</v>
      </c>
      <c r="R69" s="189">
        <v>39.000000000000014</v>
      </c>
      <c r="S69" s="189">
        <v>29.000000000000025</v>
      </c>
      <c r="T69" s="189">
        <v>5.000000000000004</v>
      </c>
      <c r="U69" s="189">
        <v>8.000000000000002</v>
      </c>
      <c r="V69" s="189">
        <v>0</v>
      </c>
      <c r="W69" s="189">
        <v>0</v>
      </c>
      <c r="X69" s="189">
        <v>31.000000000000004</v>
      </c>
      <c r="Y69" s="189">
        <v>0</v>
      </c>
      <c r="Z69" s="189">
        <v>186.21137534145907</v>
      </c>
      <c r="AA69" s="189">
        <v>0</v>
      </c>
      <c r="AB69" s="189">
        <v>0</v>
      </c>
      <c r="AC69" s="152">
        <f t="shared" si="0"/>
        <v>0</v>
      </c>
      <c r="AD69" s="152">
        <f t="shared" si="1"/>
        <v>2522650.6799999997</v>
      </c>
      <c r="AE69" s="152">
        <f t="shared" si="2"/>
        <v>1849005.84</v>
      </c>
      <c r="AF69" s="153">
        <f t="shared" si="3"/>
        <v>0</v>
      </c>
      <c r="AG69" s="153">
        <f t="shared" si="4"/>
        <v>279501.9953777778</v>
      </c>
      <c r="AH69" s="153">
        <f t="shared" si="5"/>
        <v>0</v>
      </c>
      <c r="AI69" s="153">
        <f t="shared" si="6"/>
        <v>0</v>
      </c>
      <c r="AJ69" s="153">
        <f t="shared" si="7"/>
        <v>0</v>
      </c>
      <c r="AK69" s="153">
        <f t="shared" si="8"/>
        <v>0</v>
      </c>
      <c r="AL69" s="153">
        <f t="shared" si="9"/>
        <v>0</v>
      </c>
      <c r="AM69" s="153">
        <f t="shared" si="10"/>
        <v>0</v>
      </c>
      <c r="AN69" s="153">
        <f t="shared" si="11"/>
        <v>7097.220000000006</v>
      </c>
      <c r="AO69" s="153">
        <f t="shared" si="12"/>
        <v>6834.750000000003</v>
      </c>
      <c r="AP69" s="153">
        <f t="shared" si="13"/>
        <v>7623.230000000007</v>
      </c>
      <c r="AQ69" s="153">
        <f t="shared" si="14"/>
        <v>1752.4500000000016</v>
      </c>
      <c r="AR69" s="153">
        <f t="shared" si="15"/>
        <v>3504.880000000001</v>
      </c>
      <c r="AS69" s="153">
        <f t="shared" si="16"/>
        <v>0</v>
      </c>
      <c r="AT69" s="153">
        <f t="shared" si="17"/>
        <v>0</v>
      </c>
      <c r="AU69" s="153">
        <f t="shared" si="18"/>
        <v>35903.89000000001</v>
      </c>
      <c r="AV69" s="153">
        <f t="shared" si="19"/>
        <v>0</v>
      </c>
      <c r="AW69" s="153">
        <f t="shared" si="20"/>
        <v>319538.72008594376</v>
      </c>
      <c r="AX69" s="153">
        <f t="shared" si="21"/>
        <v>0</v>
      </c>
      <c r="AY69" s="153">
        <f t="shared" si="22"/>
        <v>0</v>
      </c>
      <c r="AZ69" s="153">
        <v>140000</v>
      </c>
      <c r="BA69" s="151">
        <v>18900</v>
      </c>
      <c r="BB69" s="151">
        <v>3395.5</v>
      </c>
      <c r="BC69" s="153"/>
      <c r="BD69" s="153"/>
      <c r="BE69" s="153"/>
      <c r="BF69" s="153">
        <f t="shared" si="23"/>
        <v>4371656.52</v>
      </c>
      <c r="BG69" s="153">
        <f t="shared" si="24"/>
        <v>661757.1354637216</v>
      </c>
      <c r="BH69" s="153">
        <f t="shared" si="25"/>
        <v>162295.5</v>
      </c>
      <c r="BI69" s="153">
        <f t="shared" si="26"/>
        <v>319538.72008594376</v>
      </c>
      <c r="BJ69" s="154">
        <f t="shared" si="27"/>
        <v>5195709.155463722</v>
      </c>
      <c r="BK69" s="154">
        <v>0</v>
      </c>
      <c r="BL69" s="154">
        <v>5195712.7854637215</v>
      </c>
      <c r="BM69" s="154">
        <v>5033417.285463721</v>
      </c>
      <c r="BN69" s="154">
        <v>5418.1025677758025</v>
      </c>
      <c r="BO69" s="154">
        <v>5028.605346792036</v>
      </c>
      <c r="BP69" s="155">
        <v>0.07745631126774426</v>
      </c>
      <c r="BQ69" s="155">
        <v>0</v>
      </c>
      <c r="BR69" s="154">
        <v>0</v>
      </c>
      <c r="BS69" s="156">
        <f t="shared" si="28"/>
        <v>5195709.155463722</v>
      </c>
      <c r="BT69" s="153">
        <v>0</v>
      </c>
      <c r="BU69" s="153">
        <v>0</v>
      </c>
      <c r="BV69" s="157">
        <f t="shared" si="29"/>
        <v>5195709.155463722</v>
      </c>
      <c r="BW69" s="80"/>
      <c r="BX69" s="208"/>
      <c r="BY69" s="211"/>
      <c r="BZ69" s="103">
        <v>68520</v>
      </c>
      <c r="CA69" s="103">
        <v>45249</v>
      </c>
      <c r="CB69" s="127">
        <v>200900</v>
      </c>
      <c r="CD69" s="200"/>
      <c r="CE69" s="123"/>
      <c r="CF69" s="123"/>
      <c r="CG69" s="123"/>
      <c r="CH69" s="123"/>
      <c r="CI69" s="123"/>
      <c r="CJ69" s="123"/>
      <c r="CK69" s="127"/>
    </row>
    <row r="70" spans="1:89" ht="14.25">
      <c r="A70" s="185">
        <v>3124024</v>
      </c>
      <c r="B70" s="188">
        <v>4024</v>
      </c>
      <c r="C70" s="102" t="s">
        <v>140</v>
      </c>
      <c r="D70" s="189">
        <v>58</v>
      </c>
      <c r="E70" s="189">
        <v>0</v>
      </c>
      <c r="F70" s="189">
        <v>58</v>
      </c>
      <c r="G70" s="189">
        <v>0</v>
      </c>
      <c r="H70" s="189">
        <v>58</v>
      </c>
      <c r="I70" s="189">
        <v>0</v>
      </c>
      <c r="J70" s="189">
        <v>21.99999999999999</v>
      </c>
      <c r="K70" s="189">
        <v>0</v>
      </c>
      <c r="L70" s="189">
        <v>0</v>
      </c>
      <c r="M70" s="189">
        <v>0</v>
      </c>
      <c r="N70" s="189">
        <v>0</v>
      </c>
      <c r="O70" s="189">
        <v>0</v>
      </c>
      <c r="P70" s="189">
        <v>0</v>
      </c>
      <c r="Q70" s="189">
        <v>5.087719298245612</v>
      </c>
      <c r="R70" s="189">
        <v>9.15789473684209</v>
      </c>
      <c r="S70" s="189">
        <v>11.192982456140358</v>
      </c>
      <c r="T70" s="189">
        <v>3.0526315789473673</v>
      </c>
      <c r="U70" s="189">
        <v>9.15789473684209</v>
      </c>
      <c r="V70" s="189">
        <v>0</v>
      </c>
      <c r="W70" s="189">
        <v>0</v>
      </c>
      <c r="X70" s="189">
        <v>6.000000000000003</v>
      </c>
      <c r="Y70" s="189">
        <v>0</v>
      </c>
      <c r="Z70" s="189">
        <v>14.292564220802</v>
      </c>
      <c r="AA70" s="189">
        <v>0</v>
      </c>
      <c r="AB70" s="189">
        <v>0</v>
      </c>
      <c r="AC70" s="152">
        <f aca="true" t="shared" si="30" ref="AC70:AC95">E70*$AC$3</f>
        <v>0</v>
      </c>
      <c r="AD70" s="152">
        <f aca="true" t="shared" si="31" ref="AD70:AD95">G70*$AD$3</f>
        <v>0</v>
      </c>
      <c r="AE70" s="152">
        <f aca="true" t="shared" si="32" ref="AE70:AE95">H70*$AE$3</f>
        <v>295433.44</v>
      </c>
      <c r="AF70" s="153">
        <f aca="true" t="shared" si="33" ref="AF70:AF95">I70*$AF$3</f>
        <v>0</v>
      </c>
      <c r="AG70" s="153">
        <f aca="true" t="shared" si="34" ref="AG70:AG95">J70*$AG$3</f>
        <v>29490.559999999987</v>
      </c>
      <c r="AH70" s="153">
        <f aca="true" t="shared" si="35" ref="AH70:AH95">K70*$AH$3</f>
        <v>0</v>
      </c>
      <c r="AI70" s="153">
        <f aca="true" t="shared" si="36" ref="AI70:AI95">L70*$AI$3</f>
        <v>0</v>
      </c>
      <c r="AJ70" s="153">
        <f aca="true" t="shared" si="37" ref="AJ70:AJ95">M70*$AJ$3</f>
        <v>0</v>
      </c>
      <c r="AK70" s="153">
        <f aca="true" t="shared" si="38" ref="AK70:AK95">N70*$AK$3</f>
        <v>0</v>
      </c>
      <c r="AL70" s="153">
        <f aca="true" t="shared" si="39" ref="AL70:AL95">O70*$AL$3</f>
        <v>0</v>
      </c>
      <c r="AM70" s="153">
        <f aca="true" t="shared" si="40" ref="AM70:AM95">P70*$AM$3</f>
        <v>0</v>
      </c>
      <c r="AN70" s="153">
        <f aca="true" t="shared" si="41" ref="AN70:AN95">Q70*$AN$3</f>
        <v>445.7859649122806</v>
      </c>
      <c r="AO70" s="153">
        <f aca="true" t="shared" si="42" ref="AO70:AO95">R70*$AO$3</f>
        <v>1604.9210526315762</v>
      </c>
      <c r="AP70" s="153">
        <f aca="true" t="shared" si="43" ref="AP70:AP95">S70*$AP$3</f>
        <v>2942.299298245616</v>
      </c>
      <c r="AQ70" s="153">
        <f aca="true" t="shared" si="44" ref="AQ70:AQ95">T70*$AQ$3</f>
        <v>1069.9168421052627</v>
      </c>
      <c r="AR70" s="153">
        <f aca="true" t="shared" si="45" ref="AR70:AR95">U70*$AR$3</f>
        <v>4012.165263157888</v>
      </c>
      <c r="AS70" s="153">
        <f aca="true" t="shared" si="46" ref="AS70:AS95">V70*$AS$3</f>
        <v>0</v>
      </c>
      <c r="AT70" s="153">
        <f aca="true" t="shared" si="47" ref="AT70:AT95">W70*$AT$3</f>
        <v>0</v>
      </c>
      <c r="AU70" s="153">
        <f aca="true" t="shared" si="48" ref="AU70:AU95">X70*$AU$3</f>
        <v>6949.140000000003</v>
      </c>
      <c r="AV70" s="153">
        <f aca="true" t="shared" si="49" ref="AV70:AV95">Y70*$AV$3</f>
        <v>0</v>
      </c>
      <c r="AW70" s="153">
        <f aca="true" t="shared" si="50" ref="AW70:AW95">Z70*$AW$3</f>
        <v>24526.04020289623</v>
      </c>
      <c r="AX70" s="153">
        <f aca="true" t="shared" si="51" ref="AX70:AX95">AA70*$AX$3</f>
        <v>0</v>
      </c>
      <c r="AY70" s="153">
        <f aca="true" t="shared" si="52" ref="AY70:AY95">AB70*$AY$3</f>
        <v>0</v>
      </c>
      <c r="AZ70" s="153">
        <v>140000</v>
      </c>
      <c r="BA70" s="151">
        <v>26750</v>
      </c>
      <c r="BB70" s="151">
        <v>3900.66</v>
      </c>
      <c r="BC70" s="153"/>
      <c r="BD70" s="153"/>
      <c r="BE70" s="153"/>
      <c r="BF70" s="153">
        <f aca="true" t="shared" si="53" ref="BF70:BF95">SUM(AC70:AE70)</f>
        <v>295433.44</v>
      </c>
      <c r="BG70" s="153">
        <f aca="true" t="shared" si="54" ref="BG70:BG95">SUM(AF70:AY70)</f>
        <v>71040.82862394884</v>
      </c>
      <c r="BH70" s="153">
        <f aca="true" t="shared" si="55" ref="BH70:BH95">SUM(AZ70:BE70)</f>
        <v>170650.66</v>
      </c>
      <c r="BI70" s="153">
        <f aca="true" t="shared" si="56" ref="BI70:BI95">SUM(AV70:AW70)</f>
        <v>24526.04020289623</v>
      </c>
      <c r="BJ70" s="154">
        <f aca="true" t="shared" si="57" ref="BJ70:BJ95">BF70+BG70+BH70</f>
        <v>537124.9286239488</v>
      </c>
      <c r="BK70" s="154">
        <v>0</v>
      </c>
      <c r="BL70" s="154">
        <v>537125.5086239488</v>
      </c>
      <c r="BM70" s="154">
        <v>366474.8486239488</v>
      </c>
      <c r="BN70" s="154">
        <v>6318.531872826704</v>
      </c>
      <c r="BO70" s="154">
        <v>5750.181771428571</v>
      </c>
      <c r="BP70" s="155">
        <v>0.09884037131176336</v>
      </c>
      <c r="BQ70" s="155">
        <v>0</v>
      </c>
      <c r="BR70" s="154">
        <v>0</v>
      </c>
      <c r="BS70" s="156">
        <f aca="true" t="shared" si="58" ref="BS70:BS95">BJ70+BR70</f>
        <v>537124.9286239488</v>
      </c>
      <c r="BT70" s="153">
        <v>0</v>
      </c>
      <c r="BU70" s="153">
        <v>0</v>
      </c>
      <c r="BV70" s="157">
        <f aca="true" t="shared" si="59" ref="BV70:BV95">SUM(BS70:BU70)</f>
        <v>537124.9286239488</v>
      </c>
      <c r="BW70" s="80"/>
      <c r="BX70" s="208"/>
      <c r="BY70" s="211"/>
      <c r="BZ70" s="103"/>
      <c r="CA70" s="103"/>
      <c r="CB70" s="127">
        <v>917</v>
      </c>
      <c r="CD70" s="200"/>
      <c r="CE70" s="123"/>
      <c r="CF70" s="123"/>
      <c r="CG70" s="123"/>
      <c r="CH70" s="123"/>
      <c r="CI70" s="123"/>
      <c r="CJ70" s="123"/>
      <c r="CK70" s="127"/>
    </row>
    <row r="71" spans="1:89" ht="14.25">
      <c r="A71" s="185">
        <v>3124600</v>
      </c>
      <c r="B71" s="188">
        <v>4600</v>
      </c>
      <c r="C71" s="102" t="s">
        <v>42</v>
      </c>
      <c r="D71" s="189">
        <v>965</v>
      </c>
      <c r="E71" s="189">
        <v>0</v>
      </c>
      <c r="F71" s="189">
        <v>965</v>
      </c>
      <c r="G71" s="189">
        <v>593</v>
      </c>
      <c r="H71" s="189">
        <v>372</v>
      </c>
      <c r="I71" s="189">
        <v>0</v>
      </c>
      <c r="J71" s="189">
        <v>99.3683651804671</v>
      </c>
      <c r="K71" s="189">
        <v>0</v>
      </c>
      <c r="L71" s="189">
        <v>0</v>
      </c>
      <c r="M71" s="189">
        <v>0</v>
      </c>
      <c r="N71" s="189">
        <v>0</v>
      </c>
      <c r="O71" s="189">
        <v>0</v>
      </c>
      <c r="P71" s="189">
        <v>0</v>
      </c>
      <c r="Q71" s="189">
        <v>114.00000000000026</v>
      </c>
      <c r="R71" s="189">
        <v>104.9999999999996</v>
      </c>
      <c r="S71" s="189">
        <v>35.00000000000003</v>
      </c>
      <c r="T71" s="189">
        <v>29.999999999999996</v>
      </c>
      <c r="U71" s="189">
        <v>3.9999999999999964</v>
      </c>
      <c r="V71" s="189">
        <v>0</v>
      </c>
      <c r="W71" s="189">
        <v>0</v>
      </c>
      <c r="X71" s="189">
        <v>0.9999999999999966</v>
      </c>
      <c r="Y71" s="189">
        <v>0</v>
      </c>
      <c r="Z71" s="189">
        <v>127.89613968895847</v>
      </c>
      <c r="AA71" s="189">
        <v>0</v>
      </c>
      <c r="AB71" s="189">
        <v>0</v>
      </c>
      <c r="AC71" s="152">
        <f t="shared" si="30"/>
        <v>0</v>
      </c>
      <c r="AD71" s="152">
        <f t="shared" si="31"/>
        <v>2642989.1399999997</v>
      </c>
      <c r="AE71" s="152">
        <f t="shared" si="32"/>
        <v>1894848.9600000002</v>
      </c>
      <c r="AF71" s="153">
        <f t="shared" si="33"/>
        <v>0</v>
      </c>
      <c r="AG71" s="153">
        <f t="shared" si="34"/>
        <v>133201.30615711253</v>
      </c>
      <c r="AH71" s="153">
        <f t="shared" si="35"/>
        <v>0</v>
      </c>
      <c r="AI71" s="153">
        <f t="shared" si="36"/>
        <v>0</v>
      </c>
      <c r="AJ71" s="153">
        <f t="shared" si="37"/>
        <v>0</v>
      </c>
      <c r="AK71" s="153">
        <f t="shared" si="38"/>
        <v>0</v>
      </c>
      <c r="AL71" s="153">
        <f t="shared" si="39"/>
        <v>0</v>
      </c>
      <c r="AM71" s="153">
        <f t="shared" si="40"/>
        <v>0</v>
      </c>
      <c r="AN71" s="153">
        <f t="shared" si="41"/>
        <v>9988.680000000022</v>
      </c>
      <c r="AO71" s="153">
        <f t="shared" si="42"/>
        <v>18401.24999999993</v>
      </c>
      <c r="AP71" s="153">
        <f t="shared" si="43"/>
        <v>9200.450000000008</v>
      </c>
      <c r="AQ71" s="153">
        <f t="shared" si="44"/>
        <v>10514.699999999999</v>
      </c>
      <c r="AR71" s="153">
        <f t="shared" si="45"/>
        <v>1752.4399999999985</v>
      </c>
      <c r="AS71" s="153">
        <f t="shared" si="46"/>
        <v>0</v>
      </c>
      <c r="AT71" s="153">
        <f t="shared" si="47"/>
        <v>0</v>
      </c>
      <c r="AU71" s="153">
        <f t="shared" si="48"/>
        <v>1158.189999999996</v>
      </c>
      <c r="AV71" s="153">
        <f t="shared" si="49"/>
        <v>0</v>
      </c>
      <c r="AW71" s="153">
        <f t="shared" si="50"/>
        <v>219469.77570625272</v>
      </c>
      <c r="AX71" s="153">
        <f t="shared" si="51"/>
        <v>0</v>
      </c>
      <c r="AY71" s="153">
        <f t="shared" si="52"/>
        <v>0</v>
      </c>
      <c r="AZ71" s="153">
        <v>140000</v>
      </c>
      <c r="BA71" s="151">
        <v>24000</v>
      </c>
      <c r="BB71" s="151">
        <v>1152</v>
      </c>
      <c r="BC71" s="153"/>
      <c r="BD71" s="153"/>
      <c r="BE71" s="153"/>
      <c r="BF71" s="153">
        <f t="shared" si="53"/>
        <v>4537838.1</v>
      </c>
      <c r="BG71" s="153">
        <f t="shared" si="54"/>
        <v>403686.7918633652</v>
      </c>
      <c r="BH71" s="153">
        <f t="shared" si="55"/>
        <v>165152</v>
      </c>
      <c r="BI71" s="153">
        <f t="shared" si="56"/>
        <v>219469.77570625272</v>
      </c>
      <c r="BJ71" s="154">
        <f t="shared" si="57"/>
        <v>5106676.891863365</v>
      </c>
      <c r="BK71" s="154">
        <v>0</v>
      </c>
      <c r="BL71" s="154">
        <v>5106680.611863365</v>
      </c>
      <c r="BM71" s="154">
        <v>4941528.611863364</v>
      </c>
      <c r="BN71" s="154">
        <v>5120.755038200377</v>
      </c>
      <c r="BO71" s="154">
        <v>4763.849061652542</v>
      </c>
      <c r="BP71" s="155">
        <v>0.0749196651549718</v>
      </c>
      <c r="BQ71" s="155">
        <v>0</v>
      </c>
      <c r="BR71" s="154">
        <v>0</v>
      </c>
      <c r="BS71" s="156">
        <f t="shared" si="58"/>
        <v>5106676.891863365</v>
      </c>
      <c r="BT71" s="153">
        <v>0</v>
      </c>
      <c r="BU71" s="153">
        <v>0</v>
      </c>
      <c r="BV71" s="157">
        <f t="shared" si="59"/>
        <v>5106676.891863365</v>
      </c>
      <c r="BW71" s="80"/>
      <c r="BX71" s="208"/>
      <c r="BY71" s="211"/>
      <c r="BZ71" s="103"/>
      <c r="CA71" s="103"/>
      <c r="CB71" s="127">
        <v>138344</v>
      </c>
      <c r="CD71" s="200"/>
      <c r="CE71" s="123"/>
      <c r="CF71" s="123"/>
      <c r="CG71" s="123"/>
      <c r="CH71" s="123"/>
      <c r="CI71" s="123"/>
      <c r="CJ71" s="123"/>
      <c r="CK71" s="127"/>
    </row>
    <row r="72" spans="1:89" ht="14.25">
      <c r="A72" s="185">
        <v>3124654</v>
      </c>
      <c r="B72" s="188">
        <v>4654</v>
      </c>
      <c r="C72" s="102" t="s">
        <v>43</v>
      </c>
      <c r="D72" s="189">
        <v>1357</v>
      </c>
      <c r="E72" s="189">
        <v>456</v>
      </c>
      <c r="F72" s="189">
        <v>901</v>
      </c>
      <c r="G72" s="189">
        <v>538</v>
      </c>
      <c r="H72" s="189">
        <v>363</v>
      </c>
      <c r="I72" s="189">
        <v>33.63123644251627</v>
      </c>
      <c r="J72" s="189">
        <v>165</v>
      </c>
      <c r="K72" s="189">
        <v>137.9999999999998</v>
      </c>
      <c r="L72" s="189">
        <v>76.99999999999999</v>
      </c>
      <c r="M72" s="189">
        <v>63.999999999999794</v>
      </c>
      <c r="N72" s="189">
        <v>15.000000000000018</v>
      </c>
      <c r="O72" s="189">
        <v>27.00000000000001</v>
      </c>
      <c r="P72" s="189">
        <v>0</v>
      </c>
      <c r="Q72" s="189">
        <v>306.00000000000006</v>
      </c>
      <c r="R72" s="189">
        <v>166.99999999999972</v>
      </c>
      <c r="S72" s="189">
        <v>101.99999999999972</v>
      </c>
      <c r="T72" s="189">
        <v>62.999999999999964</v>
      </c>
      <c r="U72" s="189">
        <v>20.00000000000004</v>
      </c>
      <c r="V72" s="189">
        <v>3.0000000000000013</v>
      </c>
      <c r="W72" s="189">
        <v>175.73803526448367</v>
      </c>
      <c r="X72" s="189">
        <v>21.00000000000002</v>
      </c>
      <c r="Y72" s="189">
        <v>82.59183673469396</v>
      </c>
      <c r="Z72" s="189">
        <v>166.06609923580277</v>
      </c>
      <c r="AA72" s="189">
        <v>0</v>
      </c>
      <c r="AB72" s="189">
        <v>0</v>
      </c>
      <c r="AC72" s="152">
        <f t="shared" si="30"/>
        <v>1567399.6800000002</v>
      </c>
      <c r="AD72" s="152">
        <f t="shared" si="31"/>
        <v>2397855.2399999998</v>
      </c>
      <c r="AE72" s="152">
        <f t="shared" si="32"/>
        <v>1849005.84</v>
      </c>
      <c r="AF72" s="153">
        <f t="shared" si="33"/>
        <v>34678.51314533623</v>
      </c>
      <c r="AG72" s="153">
        <f t="shared" si="34"/>
        <v>221179.2</v>
      </c>
      <c r="AH72" s="153">
        <f t="shared" si="35"/>
        <v>9301.199999999988</v>
      </c>
      <c r="AI72" s="153">
        <f t="shared" si="36"/>
        <v>10379.599999999999</v>
      </c>
      <c r="AJ72" s="153">
        <f t="shared" si="37"/>
        <v>12941.439999999959</v>
      </c>
      <c r="AK72" s="153">
        <f t="shared" si="38"/>
        <v>4044.150000000005</v>
      </c>
      <c r="AL72" s="153">
        <f t="shared" si="39"/>
        <v>9099.270000000004</v>
      </c>
      <c r="AM72" s="153">
        <f t="shared" si="40"/>
        <v>0</v>
      </c>
      <c r="AN72" s="153">
        <f t="shared" si="41"/>
        <v>26811.720000000005</v>
      </c>
      <c r="AO72" s="153">
        <f t="shared" si="42"/>
        <v>29266.74999999995</v>
      </c>
      <c r="AP72" s="153">
        <f t="shared" si="43"/>
        <v>26812.739999999925</v>
      </c>
      <c r="AQ72" s="153">
        <f t="shared" si="44"/>
        <v>22080.869999999988</v>
      </c>
      <c r="AR72" s="153">
        <f t="shared" si="45"/>
        <v>8762.200000000017</v>
      </c>
      <c r="AS72" s="153">
        <f t="shared" si="46"/>
        <v>1577.2200000000007</v>
      </c>
      <c r="AT72" s="153">
        <f t="shared" si="47"/>
        <v>135079.28342569273</v>
      </c>
      <c r="AU72" s="153">
        <f t="shared" si="48"/>
        <v>24321.990000000027</v>
      </c>
      <c r="AV72" s="153">
        <f t="shared" si="49"/>
        <v>50678.35102040821</v>
      </c>
      <c r="AW72" s="153">
        <f t="shared" si="50"/>
        <v>284969.42628863757</v>
      </c>
      <c r="AX72" s="153">
        <f t="shared" si="51"/>
        <v>0</v>
      </c>
      <c r="AY72" s="153">
        <f t="shared" si="52"/>
        <v>0</v>
      </c>
      <c r="AZ72" s="153">
        <v>140000</v>
      </c>
      <c r="BA72" s="151">
        <v>80500</v>
      </c>
      <c r="BB72" s="151">
        <v>3864</v>
      </c>
      <c r="BC72" s="153"/>
      <c r="BD72" s="153"/>
      <c r="BE72" s="153"/>
      <c r="BF72" s="153">
        <f t="shared" si="53"/>
        <v>5814260.76</v>
      </c>
      <c r="BG72" s="153">
        <f t="shared" si="54"/>
        <v>911983.9238800746</v>
      </c>
      <c r="BH72" s="153">
        <f t="shared" si="55"/>
        <v>224364</v>
      </c>
      <c r="BI72" s="153">
        <f t="shared" si="56"/>
        <v>335647.7773090458</v>
      </c>
      <c r="BJ72" s="154">
        <f t="shared" si="57"/>
        <v>6950608.683880074</v>
      </c>
      <c r="BK72" s="154">
        <v>1908995.7278272514</v>
      </c>
      <c r="BL72" s="154">
        <v>5041616.586052823</v>
      </c>
      <c r="BM72" s="154">
        <v>6726248.313880075</v>
      </c>
      <c r="BN72" s="154">
        <v>4956.704726514425</v>
      </c>
      <c r="BO72" s="154">
        <v>4636.979633357933</v>
      </c>
      <c r="BP72" s="155">
        <v>0.06895115321543001</v>
      </c>
      <c r="BQ72" s="155">
        <v>0</v>
      </c>
      <c r="BR72" s="154">
        <v>0</v>
      </c>
      <c r="BS72" s="156">
        <f t="shared" si="58"/>
        <v>6950608.683880074</v>
      </c>
      <c r="BT72" s="153">
        <v>0</v>
      </c>
      <c r="BU72" s="153">
        <v>0</v>
      </c>
      <c r="BV72" s="157">
        <f t="shared" si="59"/>
        <v>6950608.683880074</v>
      </c>
      <c r="BW72" s="80"/>
      <c r="BX72" s="208" t="e">
        <f>VLOOKUP(B72,#REF!,22,0)</f>
        <v>#REF!</v>
      </c>
      <c r="BY72" s="211"/>
      <c r="BZ72" s="103"/>
      <c r="CA72" s="103"/>
      <c r="CB72" s="127">
        <v>47500</v>
      </c>
      <c r="CD72" s="200"/>
      <c r="CE72" s="123"/>
      <c r="CF72" s="123"/>
      <c r="CG72" s="123"/>
      <c r="CH72" s="123"/>
      <c r="CI72" s="123"/>
      <c r="CJ72" s="123"/>
      <c r="CK72" s="127"/>
    </row>
    <row r="73" spans="1:89" ht="14.25">
      <c r="A73" s="185">
        <v>3125200</v>
      </c>
      <c r="B73" s="188">
        <v>5200</v>
      </c>
      <c r="C73" s="102" t="s">
        <v>33</v>
      </c>
      <c r="D73" s="189">
        <v>267</v>
      </c>
      <c r="E73" s="189">
        <v>267</v>
      </c>
      <c r="F73" s="189">
        <v>0</v>
      </c>
      <c r="G73" s="189">
        <v>0</v>
      </c>
      <c r="H73" s="189">
        <v>0</v>
      </c>
      <c r="I73" s="189">
        <v>24</v>
      </c>
      <c r="J73" s="189">
        <v>0</v>
      </c>
      <c r="K73" s="189">
        <v>76.99999999999994</v>
      </c>
      <c r="L73" s="189">
        <v>4.999999999999993</v>
      </c>
      <c r="M73" s="189">
        <v>7.000000000000007</v>
      </c>
      <c r="N73" s="189">
        <v>0</v>
      </c>
      <c r="O73" s="189">
        <v>0</v>
      </c>
      <c r="P73" s="189">
        <v>0</v>
      </c>
      <c r="Q73" s="189">
        <v>0</v>
      </c>
      <c r="R73" s="189">
        <v>0</v>
      </c>
      <c r="S73" s="189">
        <v>0</v>
      </c>
      <c r="T73" s="189">
        <v>0</v>
      </c>
      <c r="U73" s="189">
        <v>0</v>
      </c>
      <c r="V73" s="189">
        <v>0</v>
      </c>
      <c r="W73" s="189">
        <v>131.23728813559333</v>
      </c>
      <c r="X73" s="189">
        <v>0</v>
      </c>
      <c r="Y73" s="189">
        <v>64.44827586206907</v>
      </c>
      <c r="Z73" s="189">
        <v>0</v>
      </c>
      <c r="AA73" s="189">
        <v>0</v>
      </c>
      <c r="AB73" s="189">
        <v>0</v>
      </c>
      <c r="AC73" s="152">
        <f t="shared" si="30"/>
        <v>917753.76</v>
      </c>
      <c r="AD73" s="152">
        <f t="shared" si="31"/>
        <v>0</v>
      </c>
      <c r="AE73" s="152">
        <f t="shared" si="32"/>
        <v>0</v>
      </c>
      <c r="AF73" s="153">
        <f t="shared" si="33"/>
        <v>24747.36</v>
      </c>
      <c r="AG73" s="153">
        <f t="shared" si="34"/>
        <v>0</v>
      </c>
      <c r="AH73" s="153">
        <f t="shared" si="35"/>
        <v>5189.7999999999965</v>
      </c>
      <c r="AI73" s="153">
        <f t="shared" si="36"/>
        <v>673.9999999999991</v>
      </c>
      <c r="AJ73" s="153">
        <f t="shared" si="37"/>
        <v>1415.4700000000014</v>
      </c>
      <c r="AK73" s="153">
        <f t="shared" si="38"/>
        <v>0</v>
      </c>
      <c r="AL73" s="153">
        <f t="shared" si="39"/>
        <v>0</v>
      </c>
      <c r="AM73" s="153">
        <f t="shared" si="40"/>
        <v>0</v>
      </c>
      <c r="AN73" s="153">
        <f t="shared" si="41"/>
        <v>0</v>
      </c>
      <c r="AO73" s="153">
        <f t="shared" si="42"/>
        <v>0</v>
      </c>
      <c r="AP73" s="153">
        <f t="shared" si="43"/>
        <v>0</v>
      </c>
      <c r="AQ73" s="153">
        <f t="shared" si="44"/>
        <v>0</v>
      </c>
      <c r="AR73" s="153">
        <f t="shared" si="45"/>
        <v>0</v>
      </c>
      <c r="AS73" s="153">
        <f t="shared" si="46"/>
        <v>0</v>
      </c>
      <c r="AT73" s="153">
        <f t="shared" si="47"/>
        <v>100874.22915254245</v>
      </c>
      <c r="AU73" s="153">
        <f t="shared" si="48"/>
        <v>0</v>
      </c>
      <c r="AV73" s="153">
        <f t="shared" si="49"/>
        <v>39545.46206896558</v>
      </c>
      <c r="AW73" s="153">
        <f t="shared" si="50"/>
        <v>0</v>
      </c>
      <c r="AX73" s="153">
        <f t="shared" si="51"/>
        <v>0</v>
      </c>
      <c r="AY73" s="153">
        <f t="shared" si="52"/>
        <v>0</v>
      </c>
      <c r="AZ73" s="153">
        <v>140000</v>
      </c>
      <c r="BA73" s="151">
        <v>5550</v>
      </c>
      <c r="BB73" s="151">
        <v>43.01</v>
      </c>
      <c r="BC73" s="153"/>
      <c r="BD73" s="153"/>
      <c r="BE73" s="153"/>
      <c r="BF73" s="153">
        <f t="shared" si="53"/>
        <v>917753.76</v>
      </c>
      <c r="BG73" s="153">
        <f t="shared" si="54"/>
        <v>172446.32122150803</v>
      </c>
      <c r="BH73" s="153">
        <f t="shared" si="55"/>
        <v>145593.01</v>
      </c>
      <c r="BI73" s="153">
        <f t="shared" si="56"/>
        <v>39545.46206896558</v>
      </c>
      <c r="BJ73" s="154">
        <f t="shared" si="57"/>
        <v>1235793.091221508</v>
      </c>
      <c r="BK73" s="154">
        <v>1235793.081221508</v>
      </c>
      <c r="BL73" s="154">
        <v>0</v>
      </c>
      <c r="BM73" s="154">
        <v>1090200.081221508</v>
      </c>
      <c r="BN73" s="154">
        <v>4083.146371616135</v>
      </c>
      <c r="BO73" s="154">
        <v>3856.6057395522384</v>
      </c>
      <c r="BP73" s="155">
        <v>0.05874093629549975</v>
      </c>
      <c r="BQ73" s="155">
        <v>0</v>
      </c>
      <c r="BR73" s="154">
        <v>0</v>
      </c>
      <c r="BS73" s="156">
        <f t="shared" si="58"/>
        <v>1235793.091221508</v>
      </c>
      <c r="BT73" s="153">
        <v>-584.73</v>
      </c>
      <c r="BU73" s="153">
        <v>-325.74</v>
      </c>
      <c r="BV73" s="157">
        <f t="shared" si="59"/>
        <v>1234882.6212215081</v>
      </c>
      <c r="BW73" s="80"/>
      <c r="BX73" s="208" t="e">
        <f>VLOOKUP(B73,#REF!,22,0)</f>
        <v>#REF!</v>
      </c>
      <c r="BY73" s="211" t="e">
        <f>VLOOKUP(B73,#REF!,11,0)</f>
        <v>#REF!</v>
      </c>
      <c r="BZ73" s="103"/>
      <c r="CA73" s="103"/>
      <c r="CB73" s="127">
        <v>70000</v>
      </c>
      <c r="CD73" s="200">
        <v>30935</v>
      </c>
      <c r="CE73" s="123"/>
      <c r="CF73" s="123">
        <v>2345</v>
      </c>
      <c r="CG73" s="123">
        <v>18303.333333333332</v>
      </c>
      <c r="CH73" s="123">
        <v>89367</v>
      </c>
      <c r="CI73" s="123">
        <v>7685</v>
      </c>
      <c r="CJ73" s="123"/>
      <c r="CK73" s="127"/>
    </row>
    <row r="74" spans="1:89" ht="14.25">
      <c r="A74" s="185">
        <v>3125201</v>
      </c>
      <c r="B74" s="188">
        <v>5201</v>
      </c>
      <c r="C74" s="102" t="s">
        <v>34</v>
      </c>
      <c r="D74" s="189">
        <v>348</v>
      </c>
      <c r="E74" s="189">
        <v>348</v>
      </c>
      <c r="F74" s="189">
        <v>0</v>
      </c>
      <c r="G74" s="189">
        <v>0</v>
      </c>
      <c r="H74" s="189">
        <v>0</v>
      </c>
      <c r="I74" s="189">
        <v>61.645714285714284</v>
      </c>
      <c r="J74" s="189">
        <v>0</v>
      </c>
      <c r="K74" s="189">
        <v>94.99999999999986</v>
      </c>
      <c r="L74" s="189">
        <v>16.00000000000001</v>
      </c>
      <c r="M74" s="189">
        <v>8.999999999999986</v>
      </c>
      <c r="N74" s="189">
        <v>0</v>
      </c>
      <c r="O74" s="189">
        <v>0</v>
      </c>
      <c r="P74" s="189">
        <v>0</v>
      </c>
      <c r="Q74" s="189">
        <v>0</v>
      </c>
      <c r="R74" s="189">
        <v>0</v>
      </c>
      <c r="S74" s="189">
        <v>0</v>
      </c>
      <c r="T74" s="189">
        <v>0</v>
      </c>
      <c r="U74" s="189">
        <v>0</v>
      </c>
      <c r="V74" s="189">
        <v>0</v>
      </c>
      <c r="W74" s="189">
        <v>43.99999999999986</v>
      </c>
      <c r="X74" s="189">
        <v>0</v>
      </c>
      <c r="Y74" s="189">
        <v>122.1592920353982</v>
      </c>
      <c r="Z74" s="189">
        <v>0</v>
      </c>
      <c r="AA74" s="189">
        <v>0</v>
      </c>
      <c r="AB74" s="189">
        <v>0</v>
      </c>
      <c r="AC74" s="152">
        <f t="shared" si="30"/>
        <v>1196173.4400000002</v>
      </c>
      <c r="AD74" s="152">
        <f t="shared" si="31"/>
        <v>0</v>
      </c>
      <c r="AE74" s="152">
        <f t="shared" si="32"/>
        <v>0</v>
      </c>
      <c r="AF74" s="153">
        <f t="shared" si="33"/>
        <v>63565.36182857143</v>
      </c>
      <c r="AG74" s="153">
        <f t="shared" si="34"/>
        <v>0</v>
      </c>
      <c r="AH74" s="153">
        <f t="shared" si="35"/>
        <v>6402.999999999991</v>
      </c>
      <c r="AI74" s="153">
        <f t="shared" si="36"/>
        <v>2156.8000000000015</v>
      </c>
      <c r="AJ74" s="153">
        <f t="shared" si="37"/>
        <v>1819.8899999999971</v>
      </c>
      <c r="AK74" s="153">
        <f t="shared" si="38"/>
        <v>0</v>
      </c>
      <c r="AL74" s="153">
        <f t="shared" si="39"/>
        <v>0</v>
      </c>
      <c r="AM74" s="153">
        <f t="shared" si="40"/>
        <v>0</v>
      </c>
      <c r="AN74" s="153">
        <f t="shared" si="41"/>
        <v>0</v>
      </c>
      <c r="AO74" s="153">
        <f t="shared" si="42"/>
        <v>0</v>
      </c>
      <c r="AP74" s="153">
        <f t="shared" si="43"/>
        <v>0</v>
      </c>
      <c r="AQ74" s="153">
        <f t="shared" si="44"/>
        <v>0</v>
      </c>
      <c r="AR74" s="153">
        <f t="shared" si="45"/>
        <v>0</v>
      </c>
      <c r="AS74" s="153">
        <f t="shared" si="46"/>
        <v>0</v>
      </c>
      <c r="AT74" s="153">
        <f t="shared" si="47"/>
        <v>33820.15999999989</v>
      </c>
      <c r="AU74" s="153">
        <f t="shared" si="48"/>
        <v>0</v>
      </c>
      <c r="AV74" s="153">
        <f t="shared" si="49"/>
        <v>74956.94159292034</v>
      </c>
      <c r="AW74" s="153">
        <f t="shared" si="50"/>
        <v>0</v>
      </c>
      <c r="AX74" s="153">
        <f t="shared" si="51"/>
        <v>0</v>
      </c>
      <c r="AY74" s="153">
        <f t="shared" si="52"/>
        <v>0</v>
      </c>
      <c r="AZ74" s="153">
        <v>140000</v>
      </c>
      <c r="BA74" s="151">
        <v>5550</v>
      </c>
      <c r="BB74" s="151">
        <v>43.01</v>
      </c>
      <c r="BC74" s="153"/>
      <c r="BD74" s="153"/>
      <c r="BE74" s="153"/>
      <c r="BF74" s="153">
        <f t="shared" si="53"/>
        <v>1196173.4400000002</v>
      </c>
      <c r="BG74" s="153">
        <f t="shared" si="54"/>
        <v>182722.15342149165</v>
      </c>
      <c r="BH74" s="153">
        <f t="shared" si="55"/>
        <v>145593.01</v>
      </c>
      <c r="BI74" s="153">
        <f t="shared" si="56"/>
        <v>74956.94159292034</v>
      </c>
      <c r="BJ74" s="154">
        <f t="shared" si="57"/>
        <v>1524488.6034214918</v>
      </c>
      <c r="BK74" s="154">
        <v>1524488.5934214918</v>
      </c>
      <c r="BL74" s="154">
        <v>0</v>
      </c>
      <c r="BM74" s="154">
        <v>1378895.5934214918</v>
      </c>
      <c r="BN74" s="154">
        <v>3962.34365925716</v>
      </c>
      <c r="BO74" s="154">
        <v>3726.0887502873557</v>
      </c>
      <c r="BP74" s="155">
        <v>0.06340560432211513</v>
      </c>
      <c r="BQ74" s="155">
        <v>0</v>
      </c>
      <c r="BR74" s="154">
        <v>0</v>
      </c>
      <c r="BS74" s="156">
        <f t="shared" si="58"/>
        <v>1524488.6034214918</v>
      </c>
      <c r="BT74" s="153">
        <v>-762.12</v>
      </c>
      <c r="BU74" s="153">
        <v>-424.56</v>
      </c>
      <c r="BV74" s="157">
        <f t="shared" si="59"/>
        <v>1523301.9234214916</v>
      </c>
      <c r="BW74" s="80"/>
      <c r="BX74" s="208"/>
      <c r="BY74" s="211"/>
      <c r="BZ74" s="103"/>
      <c r="CA74" s="103"/>
      <c r="CB74" s="127">
        <v>103228</v>
      </c>
      <c r="CD74" s="200">
        <v>83390</v>
      </c>
      <c r="CE74" s="123"/>
      <c r="CF74" s="123"/>
      <c r="CG74" s="123">
        <v>19488.333333333332</v>
      </c>
      <c r="CH74" s="123"/>
      <c r="CI74" s="123">
        <v>8016</v>
      </c>
      <c r="CJ74" s="123"/>
      <c r="CK74" s="127"/>
    </row>
    <row r="75" spans="1:89" ht="14.25">
      <c r="A75" s="185">
        <v>3125202</v>
      </c>
      <c r="B75" s="188">
        <v>5202</v>
      </c>
      <c r="C75" s="102" t="s">
        <v>35</v>
      </c>
      <c r="D75" s="189">
        <v>407</v>
      </c>
      <c r="E75" s="189">
        <v>407</v>
      </c>
      <c r="F75" s="189">
        <v>0</v>
      </c>
      <c r="G75" s="189">
        <v>0</v>
      </c>
      <c r="H75" s="189">
        <v>0</v>
      </c>
      <c r="I75" s="189">
        <v>128.24739583333334</v>
      </c>
      <c r="J75" s="189">
        <v>0</v>
      </c>
      <c r="K75" s="189">
        <v>127.99999999999979</v>
      </c>
      <c r="L75" s="189">
        <v>83.99999999999984</v>
      </c>
      <c r="M75" s="189">
        <v>56.99999999999997</v>
      </c>
      <c r="N75" s="189">
        <v>15.999999999999995</v>
      </c>
      <c r="O75" s="189">
        <v>4.000000000000001</v>
      </c>
      <c r="P75" s="189">
        <v>0</v>
      </c>
      <c r="Q75" s="189">
        <v>0</v>
      </c>
      <c r="R75" s="189">
        <v>0</v>
      </c>
      <c r="S75" s="189">
        <v>0</v>
      </c>
      <c r="T75" s="189">
        <v>0</v>
      </c>
      <c r="U75" s="189">
        <v>0</v>
      </c>
      <c r="V75" s="189">
        <v>0</v>
      </c>
      <c r="W75" s="189">
        <v>118.29064039408868</v>
      </c>
      <c r="X75" s="189">
        <v>0</v>
      </c>
      <c r="Y75" s="189">
        <v>159.8523676880223</v>
      </c>
      <c r="Z75" s="189">
        <v>0</v>
      </c>
      <c r="AA75" s="189">
        <v>15.580000000000009</v>
      </c>
      <c r="AB75" s="189">
        <v>0</v>
      </c>
      <c r="AC75" s="152">
        <f t="shared" si="30"/>
        <v>1398972.9600000002</v>
      </c>
      <c r="AD75" s="152">
        <f t="shared" si="31"/>
        <v>0</v>
      </c>
      <c r="AE75" s="152">
        <f t="shared" si="32"/>
        <v>0</v>
      </c>
      <c r="AF75" s="153">
        <f t="shared" si="33"/>
        <v>132241.01973958337</v>
      </c>
      <c r="AG75" s="153">
        <f t="shared" si="34"/>
        <v>0</v>
      </c>
      <c r="AH75" s="153">
        <f t="shared" si="35"/>
        <v>8627.199999999986</v>
      </c>
      <c r="AI75" s="153">
        <f t="shared" si="36"/>
        <v>11323.19999999998</v>
      </c>
      <c r="AJ75" s="153">
        <f t="shared" si="37"/>
        <v>11525.969999999994</v>
      </c>
      <c r="AK75" s="153">
        <f t="shared" si="38"/>
        <v>4313.759999999998</v>
      </c>
      <c r="AL75" s="153">
        <f t="shared" si="39"/>
        <v>1348.0400000000002</v>
      </c>
      <c r="AM75" s="153">
        <f t="shared" si="40"/>
        <v>0</v>
      </c>
      <c r="AN75" s="153">
        <f t="shared" si="41"/>
        <v>0</v>
      </c>
      <c r="AO75" s="153">
        <f t="shared" si="42"/>
        <v>0</v>
      </c>
      <c r="AP75" s="153">
        <f t="shared" si="43"/>
        <v>0</v>
      </c>
      <c r="AQ75" s="153">
        <f t="shared" si="44"/>
        <v>0</v>
      </c>
      <c r="AR75" s="153">
        <f t="shared" si="45"/>
        <v>0</v>
      </c>
      <c r="AS75" s="153">
        <f t="shared" si="46"/>
        <v>0</v>
      </c>
      <c r="AT75" s="153">
        <f t="shared" si="47"/>
        <v>90922.91783251232</v>
      </c>
      <c r="AU75" s="153">
        <f t="shared" si="48"/>
        <v>0</v>
      </c>
      <c r="AV75" s="153">
        <f t="shared" si="49"/>
        <v>98085.41281337048</v>
      </c>
      <c r="AW75" s="153">
        <f t="shared" si="50"/>
        <v>0</v>
      </c>
      <c r="AX75" s="153">
        <f t="shared" si="51"/>
        <v>12962.560000000007</v>
      </c>
      <c r="AY75" s="153">
        <f t="shared" si="52"/>
        <v>0</v>
      </c>
      <c r="AZ75" s="153">
        <v>140000</v>
      </c>
      <c r="BA75" s="151">
        <v>7750</v>
      </c>
      <c r="BB75" s="151">
        <v>-432.78</v>
      </c>
      <c r="BC75" s="153"/>
      <c r="BD75" s="153"/>
      <c r="BE75" s="153"/>
      <c r="BF75" s="153">
        <f t="shared" si="53"/>
        <v>1398972.9600000002</v>
      </c>
      <c r="BG75" s="153">
        <f t="shared" si="54"/>
        <v>371350.08038546616</v>
      </c>
      <c r="BH75" s="153">
        <f t="shared" si="55"/>
        <v>147317.22</v>
      </c>
      <c r="BI75" s="153">
        <f t="shared" si="56"/>
        <v>98085.41281337048</v>
      </c>
      <c r="BJ75" s="154">
        <f t="shared" si="57"/>
        <v>1917640.2603854663</v>
      </c>
      <c r="BK75" s="154">
        <v>1917640.2703854665</v>
      </c>
      <c r="BL75" s="154">
        <v>0</v>
      </c>
      <c r="BM75" s="154">
        <v>1770323.0403854663</v>
      </c>
      <c r="BN75" s="154">
        <v>4349.688059915151</v>
      </c>
      <c r="BO75" s="154">
        <v>4148.703003896104</v>
      </c>
      <c r="BP75" s="155">
        <v>0.048445274542501415</v>
      </c>
      <c r="BQ75" s="155">
        <v>0</v>
      </c>
      <c r="BR75" s="154">
        <v>0</v>
      </c>
      <c r="BS75" s="156">
        <f t="shared" si="58"/>
        <v>1917640.2603854663</v>
      </c>
      <c r="BT75" s="153">
        <v>-891.3299999999999</v>
      </c>
      <c r="BU75" s="153">
        <v>-496.53999999999996</v>
      </c>
      <c r="BV75" s="157">
        <f t="shared" si="59"/>
        <v>1916252.3903854662</v>
      </c>
      <c r="BW75" s="80"/>
      <c r="BX75" s="208"/>
      <c r="BY75" s="211"/>
      <c r="BZ75" s="103"/>
      <c r="CA75" s="103"/>
      <c r="CB75" s="127">
        <v>72700</v>
      </c>
      <c r="CD75" s="200">
        <v>161400</v>
      </c>
      <c r="CE75" s="123"/>
      <c r="CF75" s="123">
        <v>2345</v>
      </c>
      <c r="CG75" s="123">
        <v>19974.166666666664</v>
      </c>
      <c r="CH75" s="123"/>
      <c r="CI75" s="123">
        <v>8331</v>
      </c>
      <c r="CJ75" s="123"/>
      <c r="CK75" s="127"/>
    </row>
    <row r="76" spans="1:89" ht="14.25">
      <c r="A76" s="185">
        <v>3125203</v>
      </c>
      <c r="B76" s="188">
        <v>5203</v>
      </c>
      <c r="C76" s="102" t="s">
        <v>129</v>
      </c>
      <c r="D76" s="189">
        <v>311</v>
      </c>
      <c r="E76" s="189">
        <v>311</v>
      </c>
      <c r="F76" s="189">
        <v>0</v>
      </c>
      <c r="G76" s="189">
        <v>0</v>
      </c>
      <c r="H76" s="189">
        <v>0</v>
      </c>
      <c r="I76" s="189">
        <v>50.51273885350318</v>
      </c>
      <c r="J76" s="189">
        <v>0</v>
      </c>
      <c r="K76" s="189">
        <v>100.00000000000013</v>
      </c>
      <c r="L76" s="189">
        <v>79.00000000000013</v>
      </c>
      <c r="M76" s="189">
        <v>16.000000000000007</v>
      </c>
      <c r="N76" s="189">
        <v>18.99999999999999</v>
      </c>
      <c r="O76" s="189">
        <v>3.0000000000000004</v>
      </c>
      <c r="P76" s="189">
        <v>0</v>
      </c>
      <c r="Q76" s="189">
        <v>0</v>
      </c>
      <c r="R76" s="189">
        <v>0</v>
      </c>
      <c r="S76" s="189">
        <v>0</v>
      </c>
      <c r="T76" s="189">
        <v>0</v>
      </c>
      <c r="U76" s="189">
        <v>0</v>
      </c>
      <c r="V76" s="189">
        <v>0</v>
      </c>
      <c r="W76" s="189">
        <v>271.9296482412059</v>
      </c>
      <c r="X76" s="189">
        <v>0</v>
      </c>
      <c r="Y76" s="189">
        <v>98.8820512820513</v>
      </c>
      <c r="Z76" s="189">
        <v>0</v>
      </c>
      <c r="AA76" s="189">
        <v>0</v>
      </c>
      <c r="AB76" s="189">
        <v>0</v>
      </c>
      <c r="AC76" s="152">
        <f t="shared" si="30"/>
        <v>1068994.08</v>
      </c>
      <c r="AD76" s="152">
        <f t="shared" si="31"/>
        <v>0</v>
      </c>
      <c r="AE76" s="152">
        <f t="shared" si="32"/>
        <v>0</v>
      </c>
      <c r="AF76" s="153">
        <f t="shared" si="33"/>
        <v>52085.70554140127</v>
      </c>
      <c r="AG76" s="153">
        <f t="shared" si="34"/>
        <v>0</v>
      </c>
      <c r="AH76" s="153">
        <f t="shared" si="35"/>
        <v>6740.000000000009</v>
      </c>
      <c r="AI76" s="153">
        <f t="shared" si="36"/>
        <v>10649.200000000019</v>
      </c>
      <c r="AJ76" s="153">
        <f t="shared" si="37"/>
        <v>3235.3600000000015</v>
      </c>
      <c r="AK76" s="153">
        <f t="shared" si="38"/>
        <v>5122.589999999997</v>
      </c>
      <c r="AL76" s="153">
        <f t="shared" si="39"/>
        <v>1011.0300000000001</v>
      </c>
      <c r="AM76" s="153">
        <f t="shared" si="40"/>
        <v>0</v>
      </c>
      <c r="AN76" s="153">
        <f t="shared" si="41"/>
        <v>0</v>
      </c>
      <c r="AO76" s="153">
        <f t="shared" si="42"/>
        <v>0</v>
      </c>
      <c r="AP76" s="153">
        <f t="shared" si="43"/>
        <v>0</v>
      </c>
      <c r="AQ76" s="153">
        <f t="shared" si="44"/>
        <v>0</v>
      </c>
      <c r="AR76" s="153">
        <f t="shared" si="45"/>
        <v>0</v>
      </c>
      <c r="AS76" s="153">
        <f t="shared" si="46"/>
        <v>0</v>
      </c>
      <c r="AT76" s="153">
        <f t="shared" si="47"/>
        <v>209016.0048241205</v>
      </c>
      <c r="AU76" s="153">
        <f t="shared" si="48"/>
        <v>0</v>
      </c>
      <c r="AV76" s="153">
        <f t="shared" si="49"/>
        <v>60674.02666666667</v>
      </c>
      <c r="AW76" s="153">
        <f t="shared" si="50"/>
        <v>0</v>
      </c>
      <c r="AX76" s="153">
        <f t="shared" si="51"/>
        <v>0</v>
      </c>
      <c r="AY76" s="153">
        <f t="shared" si="52"/>
        <v>0</v>
      </c>
      <c r="AZ76" s="153">
        <v>140000</v>
      </c>
      <c r="BA76" s="151">
        <v>7750</v>
      </c>
      <c r="BB76" s="151">
        <v>-432.77</v>
      </c>
      <c r="BC76" s="153"/>
      <c r="BD76" s="153"/>
      <c r="BE76" s="153"/>
      <c r="BF76" s="153">
        <f t="shared" si="53"/>
        <v>1068994.08</v>
      </c>
      <c r="BG76" s="153">
        <f t="shared" si="54"/>
        <v>348533.91703218844</v>
      </c>
      <c r="BH76" s="153">
        <f t="shared" si="55"/>
        <v>147317.23</v>
      </c>
      <c r="BI76" s="153">
        <f t="shared" si="56"/>
        <v>60674.02666666667</v>
      </c>
      <c r="BJ76" s="154">
        <f t="shared" si="57"/>
        <v>1564845.2270321886</v>
      </c>
      <c r="BK76" s="154">
        <v>1564845.2270321886</v>
      </c>
      <c r="BL76" s="154">
        <v>0</v>
      </c>
      <c r="BM76" s="154">
        <v>1417527.9970321886</v>
      </c>
      <c r="BN76" s="154">
        <v>4557.967836116362</v>
      </c>
      <c r="BO76" s="154">
        <v>4241.412648125</v>
      </c>
      <c r="BP76" s="155">
        <v>0.07463437638667444</v>
      </c>
      <c r="BQ76" s="155">
        <v>0</v>
      </c>
      <c r="BR76" s="154">
        <v>0</v>
      </c>
      <c r="BS76" s="156">
        <f t="shared" si="58"/>
        <v>1564845.2270321886</v>
      </c>
      <c r="BT76" s="153">
        <v>-681.09</v>
      </c>
      <c r="BU76" s="153">
        <v>-379.42</v>
      </c>
      <c r="BV76" s="157">
        <f t="shared" si="59"/>
        <v>1563784.7170321885</v>
      </c>
      <c r="BW76" s="80"/>
      <c r="BX76" s="208" t="e">
        <f>VLOOKUP(B76,#REF!,22,0)</f>
        <v>#REF!</v>
      </c>
      <c r="BY76" s="211"/>
      <c r="BZ76" s="103"/>
      <c r="CA76" s="103"/>
      <c r="CB76" s="127">
        <v>20251</v>
      </c>
      <c r="CD76" s="200">
        <v>68595</v>
      </c>
      <c r="CE76" s="123"/>
      <c r="CF76" s="123">
        <v>2345</v>
      </c>
      <c r="CG76" s="123">
        <v>18664.166666666664</v>
      </c>
      <c r="CH76" s="123">
        <v>110124</v>
      </c>
      <c r="CI76" s="123">
        <v>8322</v>
      </c>
      <c r="CJ76" s="123"/>
      <c r="CK76" s="127"/>
    </row>
    <row r="77" spans="1:89" ht="14.25">
      <c r="A77" s="185">
        <v>3125204</v>
      </c>
      <c r="B77" s="188">
        <v>5204</v>
      </c>
      <c r="C77" s="102" t="s">
        <v>36</v>
      </c>
      <c r="D77" s="189">
        <v>158</v>
      </c>
      <c r="E77" s="189">
        <v>158</v>
      </c>
      <c r="F77" s="189">
        <v>0</v>
      </c>
      <c r="G77" s="189">
        <v>0</v>
      </c>
      <c r="H77" s="189">
        <v>0</v>
      </c>
      <c r="I77" s="189">
        <v>28.727272727272727</v>
      </c>
      <c r="J77" s="189">
        <v>0</v>
      </c>
      <c r="K77" s="189">
        <v>26.999999999999986</v>
      </c>
      <c r="L77" s="189">
        <v>15.99999999999998</v>
      </c>
      <c r="M77" s="189">
        <v>0</v>
      </c>
      <c r="N77" s="189">
        <v>3</v>
      </c>
      <c r="O77" s="189">
        <v>0</v>
      </c>
      <c r="P77" s="189">
        <v>0</v>
      </c>
      <c r="Q77" s="189">
        <v>0</v>
      </c>
      <c r="R77" s="189">
        <v>0</v>
      </c>
      <c r="S77" s="189">
        <v>0</v>
      </c>
      <c r="T77" s="189">
        <v>0</v>
      </c>
      <c r="U77" s="189">
        <v>0</v>
      </c>
      <c r="V77" s="189">
        <v>0</v>
      </c>
      <c r="W77" s="189">
        <v>101.35849056603772</v>
      </c>
      <c r="X77" s="189">
        <v>0</v>
      </c>
      <c r="Y77" s="189">
        <v>53.20408163265306</v>
      </c>
      <c r="Z77" s="189">
        <v>0</v>
      </c>
      <c r="AA77" s="189">
        <v>0</v>
      </c>
      <c r="AB77" s="189">
        <v>0</v>
      </c>
      <c r="AC77" s="152">
        <f t="shared" si="30"/>
        <v>543090.24</v>
      </c>
      <c r="AD77" s="152">
        <f t="shared" si="31"/>
        <v>0</v>
      </c>
      <c r="AE77" s="152">
        <f t="shared" si="32"/>
        <v>0</v>
      </c>
      <c r="AF77" s="153">
        <f t="shared" si="33"/>
        <v>29621.840000000004</v>
      </c>
      <c r="AG77" s="153">
        <f t="shared" si="34"/>
        <v>0</v>
      </c>
      <c r="AH77" s="153">
        <f t="shared" si="35"/>
        <v>1819.7999999999993</v>
      </c>
      <c r="AI77" s="153">
        <f t="shared" si="36"/>
        <v>2156.7999999999975</v>
      </c>
      <c r="AJ77" s="153">
        <f t="shared" si="37"/>
        <v>0</v>
      </c>
      <c r="AK77" s="153">
        <f t="shared" si="38"/>
        <v>808.83</v>
      </c>
      <c r="AL77" s="153">
        <f t="shared" si="39"/>
        <v>0</v>
      </c>
      <c r="AM77" s="153">
        <f t="shared" si="40"/>
        <v>0</v>
      </c>
      <c r="AN77" s="153">
        <f t="shared" si="41"/>
        <v>0</v>
      </c>
      <c r="AO77" s="153">
        <f t="shared" si="42"/>
        <v>0</v>
      </c>
      <c r="AP77" s="153">
        <f t="shared" si="43"/>
        <v>0</v>
      </c>
      <c r="AQ77" s="153">
        <f t="shared" si="44"/>
        <v>0</v>
      </c>
      <c r="AR77" s="153">
        <f t="shared" si="45"/>
        <v>0</v>
      </c>
      <c r="AS77" s="153">
        <f t="shared" si="46"/>
        <v>0</v>
      </c>
      <c r="AT77" s="153">
        <f t="shared" si="47"/>
        <v>77908.19018867923</v>
      </c>
      <c r="AU77" s="153">
        <f t="shared" si="48"/>
        <v>0</v>
      </c>
      <c r="AV77" s="153">
        <f t="shared" si="49"/>
        <v>32646.024489795916</v>
      </c>
      <c r="AW77" s="153">
        <f t="shared" si="50"/>
        <v>0</v>
      </c>
      <c r="AX77" s="153">
        <f t="shared" si="51"/>
        <v>0</v>
      </c>
      <c r="AY77" s="153">
        <f t="shared" si="52"/>
        <v>0</v>
      </c>
      <c r="AZ77" s="153">
        <v>140000</v>
      </c>
      <c r="BA77" s="151">
        <v>9840</v>
      </c>
      <c r="BB77" s="151">
        <v>5627.78</v>
      </c>
      <c r="BC77" s="153"/>
      <c r="BD77" s="153"/>
      <c r="BE77" s="153"/>
      <c r="BF77" s="153">
        <f t="shared" si="53"/>
        <v>543090.24</v>
      </c>
      <c r="BG77" s="153">
        <f t="shared" si="54"/>
        <v>144961.48467847516</v>
      </c>
      <c r="BH77" s="153">
        <f t="shared" si="55"/>
        <v>155467.78</v>
      </c>
      <c r="BI77" s="153">
        <f t="shared" si="56"/>
        <v>32646.024489795916</v>
      </c>
      <c r="BJ77" s="154">
        <f t="shared" si="57"/>
        <v>843519.5046784752</v>
      </c>
      <c r="BK77" s="154">
        <v>843519.4946784752</v>
      </c>
      <c r="BL77" s="154">
        <v>0</v>
      </c>
      <c r="BM77" s="154">
        <v>688051.7246784752</v>
      </c>
      <c r="BN77" s="154">
        <v>4354.757751129589</v>
      </c>
      <c r="BO77" s="154">
        <v>4006.8729927272725</v>
      </c>
      <c r="BP77" s="155">
        <v>0.0868220078434604</v>
      </c>
      <c r="BQ77" s="155">
        <v>0</v>
      </c>
      <c r="BR77" s="154">
        <v>0</v>
      </c>
      <c r="BS77" s="156">
        <f t="shared" si="58"/>
        <v>843519.5046784752</v>
      </c>
      <c r="BT77" s="153">
        <v>-346.02</v>
      </c>
      <c r="BU77" s="153">
        <v>-192.76</v>
      </c>
      <c r="BV77" s="157">
        <f t="shared" si="59"/>
        <v>842980.7246784752</v>
      </c>
      <c r="BW77" s="80"/>
      <c r="BX77" s="208" t="e">
        <f>VLOOKUP(B77,#REF!,22,0)</f>
        <v>#REF!</v>
      </c>
      <c r="BY77" s="211" t="e">
        <f>VLOOKUP(B77,#REF!,11,0)</f>
        <v>#REF!</v>
      </c>
      <c r="BZ77" s="103"/>
      <c r="CA77" s="103"/>
      <c r="CB77" s="127">
        <v>8334</v>
      </c>
      <c r="CD77" s="200">
        <v>40350</v>
      </c>
      <c r="CE77" s="123">
        <v>310</v>
      </c>
      <c r="CF77" s="123"/>
      <c r="CG77" s="123">
        <v>17375.833333333336</v>
      </c>
      <c r="CH77" s="123">
        <v>50255</v>
      </c>
      <c r="CI77" s="123">
        <v>6349</v>
      </c>
      <c r="CJ77" s="123"/>
      <c r="CK77" s="127"/>
    </row>
    <row r="78" spans="1:89" ht="14.25">
      <c r="A78" s="185">
        <v>3125205</v>
      </c>
      <c r="B78" s="188">
        <v>5205</v>
      </c>
      <c r="C78" s="122" t="s">
        <v>37</v>
      </c>
      <c r="D78" s="189">
        <v>229</v>
      </c>
      <c r="E78" s="189">
        <v>229</v>
      </c>
      <c r="F78" s="189">
        <v>0</v>
      </c>
      <c r="G78" s="189">
        <v>0</v>
      </c>
      <c r="H78" s="189">
        <v>0</v>
      </c>
      <c r="I78" s="189">
        <v>43.24463519313305</v>
      </c>
      <c r="J78" s="189">
        <v>0</v>
      </c>
      <c r="K78" s="189">
        <v>47.99999999999993</v>
      </c>
      <c r="L78" s="189">
        <v>26.99999999999992</v>
      </c>
      <c r="M78" s="189">
        <v>0</v>
      </c>
      <c r="N78" s="189">
        <v>1.9999999999999996</v>
      </c>
      <c r="O78" s="189">
        <v>0</v>
      </c>
      <c r="P78" s="189">
        <v>0</v>
      </c>
      <c r="Q78" s="189">
        <v>0</v>
      </c>
      <c r="R78" s="189">
        <v>0</v>
      </c>
      <c r="S78" s="189">
        <v>0</v>
      </c>
      <c r="T78" s="189">
        <v>0</v>
      </c>
      <c r="U78" s="189">
        <v>0</v>
      </c>
      <c r="V78" s="189">
        <v>0</v>
      </c>
      <c r="W78" s="189">
        <v>48.21052631578955</v>
      </c>
      <c r="X78" s="189">
        <v>0</v>
      </c>
      <c r="Y78" s="189">
        <v>97.29533678756488</v>
      </c>
      <c r="Z78" s="189">
        <v>0</v>
      </c>
      <c r="AA78" s="189">
        <v>0</v>
      </c>
      <c r="AB78" s="189">
        <v>0</v>
      </c>
      <c r="AC78" s="152">
        <f t="shared" si="30"/>
        <v>787137.12</v>
      </c>
      <c r="AD78" s="152">
        <f t="shared" si="31"/>
        <v>0</v>
      </c>
      <c r="AE78" s="152">
        <f t="shared" si="32"/>
        <v>0</v>
      </c>
      <c r="AF78" s="153">
        <f t="shared" si="33"/>
        <v>44591.273133047216</v>
      </c>
      <c r="AG78" s="153">
        <f t="shared" si="34"/>
        <v>0</v>
      </c>
      <c r="AH78" s="153">
        <f t="shared" si="35"/>
        <v>3235.1999999999953</v>
      </c>
      <c r="AI78" s="153">
        <f t="shared" si="36"/>
        <v>3639.5999999999894</v>
      </c>
      <c r="AJ78" s="153">
        <f t="shared" si="37"/>
        <v>0</v>
      </c>
      <c r="AK78" s="153">
        <f t="shared" si="38"/>
        <v>539.2199999999999</v>
      </c>
      <c r="AL78" s="153">
        <f t="shared" si="39"/>
        <v>0</v>
      </c>
      <c r="AM78" s="153">
        <f t="shared" si="40"/>
        <v>0</v>
      </c>
      <c r="AN78" s="153">
        <f t="shared" si="41"/>
        <v>0</v>
      </c>
      <c r="AO78" s="153">
        <f t="shared" si="42"/>
        <v>0</v>
      </c>
      <c r="AP78" s="153">
        <f t="shared" si="43"/>
        <v>0</v>
      </c>
      <c r="AQ78" s="153">
        <f t="shared" si="44"/>
        <v>0</v>
      </c>
      <c r="AR78" s="153">
        <f t="shared" si="45"/>
        <v>0</v>
      </c>
      <c r="AS78" s="153">
        <f t="shared" si="46"/>
        <v>0</v>
      </c>
      <c r="AT78" s="153">
        <f t="shared" si="47"/>
        <v>37056.53894736848</v>
      </c>
      <c r="AU78" s="153">
        <f t="shared" si="48"/>
        <v>0</v>
      </c>
      <c r="AV78" s="153">
        <f t="shared" si="49"/>
        <v>59700.41865284981</v>
      </c>
      <c r="AW78" s="153">
        <f t="shared" si="50"/>
        <v>0</v>
      </c>
      <c r="AX78" s="153">
        <f t="shared" si="51"/>
        <v>0</v>
      </c>
      <c r="AY78" s="153">
        <f t="shared" si="52"/>
        <v>0</v>
      </c>
      <c r="AZ78" s="153">
        <v>140000</v>
      </c>
      <c r="BA78" s="151">
        <v>9840</v>
      </c>
      <c r="BB78" s="151">
        <v>5627.77</v>
      </c>
      <c r="BC78" s="153"/>
      <c r="BD78" s="153"/>
      <c r="BE78" s="153"/>
      <c r="BF78" s="153">
        <f t="shared" si="53"/>
        <v>787137.12</v>
      </c>
      <c r="BG78" s="153">
        <f t="shared" si="54"/>
        <v>148762.25073326548</v>
      </c>
      <c r="BH78" s="153">
        <f t="shared" si="55"/>
        <v>155467.77</v>
      </c>
      <c r="BI78" s="153">
        <f t="shared" si="56"/>
        <v>59700.41865284981</v>
      </c>
      <c r="BJ78" s="154">
        <f t="shared" si="57"/>
        <v>1091367.1407332656</v>
      </c>
      <c r="BK78" s="154">
        <v>1091367.1407332656</v>
      </c>
      <c r="BL78" s="154">
        <v>0</v>
      </c>
      <c r="BM78" s="154">
        <v>935899.3707332655</v>
      </c>
      <c r="BN78" s="154">
        <v>4086.896815429107</v>
      </c>
      <c r="BO78" s="154">
        <v>3926.29401440678</v>
      </c>
      <c r="BP78" s="155">
        <v>0.040904425504821</v>
      </c>
      <c r="BQ78" s="155">
        <v>0</v>
      </c>
      <c r="BR78" s="154">
        <v>0</v>
      </c>
      <c r="BS78" s="156">
        <f t="shared" si="58"/>
        <v>1091367.1407332656</v>
      </c>
      <c r="BT78" s="153">
        <v>-501.51</v>
      </c>
      <c r="BU78" s="153">
        <v>-279.38</v>
      </c>
      <c r="BV78" s="157">
        <f t="shared" si="59"/>
        <v>1090586.2507332657</v>
      </c>
      <c r="BW78" s="80"/>
      <c r="BX78" s="208"/>
      <c r="BY78" s="211"/>
      <c r="BZ78" s="103"/>
      <c r="CA78" s="103"/>
      <c r="CB78" s="127">
        <v>50726</v>
      </c>
      <c r="CD78" s="200">
        <v>57835</v>
      </c>
      <c r="CE78" s="123">
        <v>930</v>
      </c>
      <c r="CF78" s="123">
        <v>2345</v>
      </c>
      <c r="CG78" s="123">
        <v>18306.666666666668</v>
      </c>
      <c r="CH78" s="123"/>
      <c r="CI78" s="123">
        <v>6644</v>
      </c>
      <c r="CJ78" s="123"/>
      <c r="CK78" s="127"/>
    </row>
    <row r="79" spans="1:89" ht="14.25">
      <c r="A79" s="185">
        <v>3125206</v>
      </c>
      <c r="B79" s="188">
        <v>5206</v>
      </c>
      <c r="C79" s="102" t="s">
        <v>38</v>
      </c>
      <c r="D79" s="189">
        <v>461</v>
      </c>
      <c r="E79" s="189">
        <v>461</v>
      </c>
      <c r="F79" s="189">
        <v>0</v>
      </c>
      <c r="G79" s="189">
        <v>0</v>
      </c>
      <c r="H79" s="189">
        <v>0</v>
      </c>
      <c r="I79" s="189">
        <v>136.95728155339808</v>
      </c>
      <c r="J79" s="189">
        <v>0</v>
      </c>
      <c r="K79" s="189">
        <v>212.99999999999986</v>
      </c>
      <c r="L79" s="189">
        <v>48.99999999999997</v>
      </c>
      <c r="M79" s="189">
        <v>94.00000000000017</v>
      </c>
      <c r="N79" s="189">
        <v>32.00000000000002</v>
      </c>
      <c r="O79" s="189">
        <v>8.999999999999993</v>
      </c>
      <c r="P79" s="189">
        <v>0</v>
      </c>
      <c r="Q79" s="189">
        <v>0</v>
      </c>
      <c r="R79" s="189">
        <v>0</v>
      </c>
      <c r="S79" s="189">
        <v>0</v>
      </c>
      <c r="T79" s="189">
        <v>0</v>
      </c>
      <c r="U79" s="189">
        <v>0</v>
      </c>
      <c r="V79" s="189">
        <v>0</v>
      </c>
      <c r="W79" s="189">
        <v>140.45208845208862</v>
      </c>
      <c r="X79" s="189">
        <v>0</v>
      </c>
      <c r="Y79" s="189">
        <v>128.39522546419076</v>
      </c>
      <c r="Z79" s="189">
        <v>0</v>
      </c>
      <c r="AA79" s="189">
        <v>7.339999999999987</v>
      </c>
      <c r="AB79" s="189">
        <v>0</v>
      </c>
      <c r="AC79" s="152">
        <f t="shared" si="30"/>
        <v>1584586.08</v>
      </c>
      <c r="AD79" s="152">
        <f t="shared" si="31"/>
        <v>0</v>
      </c>
      <c r="AE79" s="152">
        <f t="shared" si="32"/>
        <v>0</v>
      </c>
      <c r="AF79" s="153">
        <f t="shared" si="33"/>
        <v>141222.1313009709</v>
      </c>
      <c r="AG79" s="153">
        <f t="shared" si="34"/>
        <v>0</v>
      </c>
      <c r="AH79" s="153">
        <f t="shared" si="35"/>
        <v>14356.199999999992</v>
      </c>
      <c r="AI79" s="153">
        <f t="shared" si="36"/>
        <v>6605.199999999997</v>
      </c>
      <c r="AJ79" s="153">
        <f t="shared" si="37"/>
        <v>19007.740000000034</v>
      </c>
      <c r="AK79" s="153">
        <f t="shared" si="38"/>
        <v>8627.520000000006</v>
      </c>
      <c r="AL79" s="153">
        <f t="shared" si="39"/>
        <v>3033.0899999999974</v>
      </c>
      <c r="AM79" s="153">
        <f t="shared" si="40"/>
        <v>0</v>
      </c>
      <c r="AN79" s="153">
        <f t="shared" si="41"/>
        <v>0</v>
      </c>
      <c r="AO79" s="153">
        <f t="shared" si="42"/>
        <v>0</v>
      </c>
      <c r="AP79" s="153">
        <f t="shared" si="43"/>
        <v>0</v>
      </c>
      <c r="AQ79" s="153">
        <f t="shared" si="44"/>
        <v>0</v>
      </c>
      <c r="AR79" s="153">
        <f t="shared" si="45"/>
        <v>0</v>
      </c>
      <c r="AS79" s="153">
        <f t="shared" si="46"/>
        <v>0</v>
      </c>
      <c r="AT79" s="153">
        <f t="shared" si="47"/>
        <v>107957.0932678134</v>
      </c>
      <c r="AU79" s="153">
        <f t="shared" si="48"/>
        <v>0</v>
      </c>
      <c r="AV79" s="153">
        <f t="shared" si="49"/>
        <v>78783.31034482745</v>
      </c>
      <c r="AW79" s="153">
        <f t="shared" si="50"/>
        <v>0</v>
      </c>
      <c r="AX79" s="153">
        <f t="shared" si="51"/>
        <v>6106.879999999989</v>
      </c>
      <c r="AY79" s="153">
        <f t="shared" si="52"/>
        <v>0</v>
      </c>
      <c r="AZ79" s="153">
        <v>140000</v>
      </c>
      <c r="BA79" s="151">
        <v>12600</v>
      </c>
      <c r="BB79" s="151">
        <v>-316.3</v>
      </c>
      <c r="BC79" s="153"/>
      <c r="BD79" s="153"/>
      <c r="BE79" s="153"/>
      <c r="BF79" s="153">
        <f t="shared" si="53"/>
        <v>1584586.08</v>
      </c>
      <c r="BG79" s="153">
        <f t="shared" si="54"/>
        <v>385699.16491361184</v>
      </c>
      <c r="BH79" s="153">
        <f t="shared" si="55"/>
        <v>152283.7</v>
      </c>
      <c r="BI79" s="153">
        <f t="shared" si="56"/>
        <v>78783.31034482745</v>
      </c>
      <c r="BJ79" s="154">
        <f t="shared" si="57"/>
        <v>2122568.944913612</v>
      </c>
      <c r="BK79" s="154">
        <v>2122568.9449136117</v>
      </c>
      <c r="BL79" s="154">
        <v>0</v>
      </c>
      <c r="BM79" s="154">
        <v>1970285.2449136123</v>
      </c>
      <c r="BN79" s="154">
        <v>4273.937624541459</v>
      </c>
      <c r="BO79" s="154">
        <v>4020.9315660749508</v>
      </c>
      <c r="BP79" s="155">
        <v>0.06292224931186305</v>
      </c>
      <c r="BQ79" s="155">
        <v>0</v>
      </c>
      <c r="BR79" s="154">
        <v>0</v>
      </c>
      <c r="BS79" s="156">
        <f t="shared" si="58"/>
        <v>2122568.944913612</v>
      </c>
      <c r="BT79" s="153">
        <v>0</v>
      </c>
      <c r="BU79" s="153">
        <v>0</v>
      </c>
      <c r="BV79" s="157">
        <f t="shared" si="59"/>
        <v>2122568.944913612</v>
      </c>
      <c r="BW79" s="80"/>
      <c r="BX79" s="208" t="e">
        <f>VLOOKUP(B79,#REF!,22,0)</f>
        <v>#REF!</v>
      </c>
      <c r="BY79" s="211" t="e">
        <f>VLOOKUP(B79,#REF!,11,0)</f>
        <v>#REF!</v>
      </c>
      <c r="BZ79" s="103"/>
      <c r="CA79" s="103"/>
      <c r="CB79" s="127">
        <v>63726</v>
      </c>
      <c r="CD79" s="200"/>
      <c r="CE79" s="123"/>
      <c r="CF79" s="123"/>
      <c r="CG79" s="123"/>
      <c r="CH79" s="123"/>
      <c r="CI79" s="123"/>
      <c r="CJ79" s="123"/>
      <c r="CK79" s="127"/>
    </row>
    <row r="80" spans="1:89" ht="14.25">
      <c r="A80" s="185">
        <v>3125208</v>
      </c>
      <c r="B80" s="188">
        <v>5208</v>
      </c>
      <c r="C80" s="102" t="s">
        <v>95</v>
      </c>
      <c r="D80" s="189">
        <v>183</v>
      </c>
      <c r="E80" s="189">
        <v>183</v>
      </c>
      <c r="F80" s="189">
        <v>0</v>
      </c>
      <c r="G80" s="189">
        <v>0</v>
      </c>
      <c r="H80" s="189">
        <v>0</v>
      </c>
      <c r="I80" s="189">
        <v>39.000000000000064</v>
      </c>
      <c r="J80" s="189">
        <v>0</v>
      </c>
      <c r="K80" s="189">
        <v>41.000000000000085</v>
      </c>
      <c r="L80" s="189">
        <v>79.99999999999997</v>
      </c>
      <c r="M80" s="189">
        <v>21.00000000000005</v>
      </c>
      <c r="N80" s="189">
        <v>7.0000000000000036</v>
      </c>
      <c r="O80" s="189">
        <v>0</v>
      </c>
      <c r="P80" s="189">
        <v>0</v>
      </c>
      <c r="Q80" s="189">
        <v>0</v>
      </c>
      <c r="R80" s="189">
        <v>0</v>
      </c>
      <c r="S80" s="189">
        <v>0</v>
      </c>
      <c r="T80" s="189">
        <v>0</v>
      </c>
      <c r="U80" s="189">
        <v>0</v>
      </c>
      <c r="V80" s="189">
        <v>0</v>
      </c>
      <c r="W80" s="189">
        <v>30.896103896103927</v>
      </c>
      <c r="X80" s="189">
        <v>0</v>
      </c>
      <c r="Y80" s="189">
        <v>47.057142857142836</v>
      </c>
      <c r="Z80" s="189">
        <v>0</v>
      </c>
      <c r="AA80" s="189">
        <v>1.0200000000000036</v>
      </c>
      <c r="AB80" s="189">
        <v>0</v>
      </c>
      <c r="AC80" s="152">
        <f t="shared" si="30"/>
        <v>629022.24</v>
      </c>
      <c r="AD80" s="152">
        <f t="shared" si="31"/>
        <v>0</v>
      </c>
      <c r="AE80" s="152">
        <f t="shared" si="32"/>
        <v>0</v>
      </c>
      <c r="AF80" s="153">
        <f t="shared" si="33"/>
        <v>40214.46000000007</v>
      </c>
      <c r="AG80" s="153">
        <f t="shared" si="34"/>
        <v>0</v>
      </c>
      <c r="AH80" s="153">
        <f t="shared" si="35"/>
        <v>2763.400000000006</v>
      </c>
      <c r="AI80" s="153">
        <f t="shared" si="36"/>
        <v>10783.999999999996</v>
      </c>
      <c r="AJ80" s="153">
        <f t="shared" si="37"/>
        <v>4246.41000000001</v>
      </c>
      <c r="AK80" s="153">
        <f t="shared" si="38"/>
        <v>1887.2700000000011</v>
      </c>
      <c r="AL80" s="153">
        <f t="shared" si="39"/>
        <v>0</v>
      </c>
      <c r="AM80" s="153">
        <f t="shared" si="40"/>
        <v>0</v>
      </c>
      <c r="AN80" s="153">
        <f t="shared" si="41"/>
        <v>0</v>
      </c>
      <c r="AO80" s="153">
        <f t="shared" si="42"/>
        <v>0</v>
      </c>
      <c r="AP80" s="153">
        <f t="shared" si="43"/>
        <v>0</v>
      </c>
      <c r="AQ80" s="153">
        <f t="shared" si="44"/>
        <v>0</v>
      </c>
      <c r="AR80" s="153">
        <f t="shared" si="45"/>
        <v>0</v>
      </c>
      <c r="AS80" s="153">
        <f t="shared" si="46"/>
        <v>0</v>
      </c>
      <c r="AT80" s="153">
        <f t="shared" si="47"/>
        <v>23747.98129870132</v>
      </c>
      <c r="AU80" s="153">
        <f t="shared" si="48"/>
        <v>0</v>
      </c>
      <c r="AV80" s="153">
        <f t="shared" si="49"/>
        <v>28874.262857142847</v>
      </c>
      <c r="AW80" s="153">
        <f t="shared" si="50"/>
        <v>0</v>
      </c>
      <c r="AX80" s="153">
        <f t="shared" si="51"/>
        <v>848.6400000000029</v>
      </c>
      <c r="AY80" s="153">
        <f t="shared" si="52"/>
        <v>0</v>
      </c>
      <c r="AZ80" s="153">
        <v>140000</v>
      </c>
      <c r="BA80" s="151">
        <v>3888</v>
      </c>
      <c r="BB80" s="151">
        <v>-33.35</v>
      </c>
      <c r="BC80" s="153"/>
      <c r="BD80" s="153"/>
      <c r="BE80" s="153"/>
      <c r="BF80" s="153">
        <f t="shared" si="53"/>
        <v>629022.24</v>
      </c>
      <c r="BG80" s="153">
        <f t="shared" si="54"/>
        <v>113366.42415584426</v>
      </c>
      <c r="BH80" s="153">
        <f t="shared" si="55"/>
        <v>143854.65</v>
      </c>
      <c r="BI80" s="153">
        <f t="shared" si="56"/>
        <v>28874.262857142847</v>
      </c>
      <c r="BJ80" s="154">
        <f t="shared" si="57"/>
        <v>886243.3141558443</v>
      </c>
      <c r="BK80" s="154">
        <v>886243.3141558444</v>
      </c>
      <c r="BL80" s="154">
        <v>0</v>
      </c>
      <c r="BM80" s="154">
        <v>742388.6641558442</v>
      </c>
      <c r="BN80" s="154">
        <v>4056.7686565893127</v>
      </c>
      <c r="BO80" s="154">
        <v>3771.6770619999998</v>
      </c>
      <c r="BP80" s="155">
        <v>0.07558748798025089</v>
      </c>
      <c r="BQ80" s="155">
        <v>0</v>
      </c>
      <c r="BR80" s="154">
        <v>0</v>
      </c>
      <c r="BS80" s="156">
        <f t="shared" si="58"/>
        <v>886243.3141558443</v>
      </c>
      <c r="BT80" s="153">
        <v>-400.77</v>
      </c>
      <c r="BU80" s="153">
        <v>-223.26</v>
      </c>
      <c r="BV80" s="157">
        <f t="shared" si="59"/>
        <v>885619.2841558442</v>
      </c>
      <c r="BW80" s="80"/>
      <c r="BX80" s="208" t="e">
        <f>VLOOKUP(B80,#REF!,22,0)</f>
        <v>#REF!</v>
      </c>
      <c r="BY80" s="211" t="e">
        <f>VLOOKUP(B80,#REF!,11,0)</f>
        <v>#REF!</v>
      </c>
      <c r="BZ80" s="103"/>
      <c r="CA80" s="103"/>
      <c r="CB80" s="127">
        <v>17000</v>
      </c>
      <c r="CD80" s="200">
        <v>47075</v>
      </c>
      <c r="CE80" s="123">
        <v>930</v>
      </c>
      <c r="CF80" s="123"/>
      <c r="CG80" s="123">
        <v>17771.666666666664</v>
      </c>
      <c r="CH80" s="123">
        <v>26220</v>
      </c>
      <c r="CI80" s="123"/>
      <c r="CJ80" s="123"/>
      <c r="CK80" s="127"/>
    </row>
    <row r="81" spans="1:89" ht="14.25">
      <c r="A81" s="185">
        <v>3125211</v>
      </c>
      <c r="B81" s="188">
        <v>5211</v>
      </c>
      <c r="C81" s="102" t="s">
        <v>39</v>
      </c>
      <c r="D81" s="189">
        <v>631</v>
      </c>
      <c r="E81" s="189">
        <v>631</v>
      </c>
      <c r="F81" s="189">
        <v>0</v>
      </c>
      <c r="G81" s="189">
        <v>0</v>
      </c>
      <c r="H81" s="189">
        <v>0</v>
      </c>
      <c r="I81" s="189">
        <v>103.8226837060703</v>
      </c>
      <c r="J81" s="189">
        <v>0</v>
      </c>
      <c r="K81" s="189">
        <v>179.00000000000006</v>
      </c>
      <c r="L81" s="189">
        <v>71.0000000000003</v>
      </c>
      <c r="M81" s="189">
        <v>27.000000000000004</v>
      </c>
      <c r="N81" s="189">
        <v>28.999999999999968</v>
      </c>
      <c r="O81" s="189">
        <v>1.0000000000000027</v>
      </c>
      <c r="P81" s="189">
        <v>0</v>
      </c>
      <c r="Q81" s="189">
        <v>0</v>
      </c>
      <c r="R81" s="189">
        <v>0</v>
      </c>
      <c r="S81" s="189">
        <v>0</v>
      </c>
      <c r="T81" s="189">
        <v>0</v>
      </c>
      <c r="U81" s="189">
        <v>0</v>
      </c>
      <c r="V81" s="189">
        <v>0</v>
      </c>
      <c r="W81" s="189">
        <v>207.98324022346367</v>
      </c>
      <c r="X81" s="189">
        <v>0</v>
      </c>
      <c r="Y81" s="189">
        <v>226.8221797323138</v>
      </c>
      <c r="Z81" s="189">
        <v>0</v>
      </c>
      <c r="AA81" s="189">
        <v>0</v>
      </c>
      <c r="AB81" s="189">
        <v>0</v>
      </c>
      <c r="AC81" s="152">
        <f t="shared" si="30"/>
        <v>2168923.68</v>
      </c>
      <c r="AD81" s="152">
        <f t="shared" si="31"/>
        <v>0</v>
      </c>
      <c r="AE81" s="152">
        <f t="shared" si="32"/>
        <v>0</v>
      </c>
      <c r="AF81" s="153">
        <f t="shared" si="33"/>
        <v>107055.72207667734</v>
      </c>
      <c r="AG81" s="153">
        <f t="shared" si="34"/>
        <v>0</v>
      </c>
      <c r="AH81" s="153">
        <f t="shared" si="35"/>
        <v>12064.600000000004</v>
      </c>
      <c r="AI81" s="153">
        <f t="shared" si="36"/>
        <v>9570.800000000041</v>
      </c>
      <c r="AJ81" s="153">
        <f t="shared" si="37"/>
        <v>5459.670000000001</v>
      </c>
      <c r="AK81" s="153">
        <f t="shared" si="38"/>
        <v>7818.689999999991</v>
      </c>
      <c r="AL81" s="153">
        <f t="shared" si="39"/>
        <v>337.0100000000009</v>
      </c>
      <c r="AM81" s="153">
        <f t="shared" si="40"/>
        <v>0</v>
      </c>
      <c r="AN81" s="153">
        <f t="shared" si="41"/>
        <v>0</v>
      </c>
      <c r="AO81" s="153">
        <f t="shared" si="42"/>
        <v>0</v>
      </c>
      <c r="AP81" s="153">
        <f t="shared" si="43"/>
        <v>0</v>
      </c>
      <c r="AQ81" s="153">
        <f t="shared" si="44"/>
        <v>0</v>
      </c>
      <c r="AR81" s="153">
        <f t="shared" si="45"/>
        <v>0</v>
      </c>
      <c r="AS81" s="153">
        <f t="shared" si="46"/>
        <v>0</v>
      </c>
      <c r="AT81" s="153">
        <f t="shared" si="47"/>
        <v>159864.2377653631</v>
      </c>
      <c r="AU81" s="153">
        <f t="shared" si="48"/>
        <v>0</v>
      </c>
      <c r="AV81" s="153">
        <f t="shared" si="49"/>
        <v>139178.08948374775</v>
      </c>
      <c r="AW81" s="153">
        <f t="shared" si="50"/>
        <v>0</v>
      </c>
      <c r="AX81" s="153">
        <f t="shared" si="51"/>
        <v>0</v>
      </c>
      <c r="AY81" s="153">
        <f t="shared" si="52"/>
        <v>0</v>
      </c>
      <c r="AZ81" s="153">
        <v>140000</v>
      </c>
      <c r="BA81" s="151">
        <v>11500</v>
      </c>
      <c r="BB81" s="151">
        <v>552</v>
      </c>
      <c r="BC81" s="153"/>
      <c r="BD81" s="153"/>
      <c r="BE81" s="153"/>
      <c r="BF81" s="153">
        <f t="shared" si="53"/>
        <v>2168923.68</v>
      </c>
      <c r="BG81" s="153">
        <f t="shared" si="54"/>
        <v>441348.8193257883</v>
      </c>
      <c r="BH81" s="153">
        <f t="shared" si="55"/>
        <v>152052</v>
      </c>
      <c r="BI81" s="153">
        <f t="shared" si="56"/>
        <v>139178.08948374775</v>
      </c>
      <c r="BJ81" s="154">
        <f t="shared" si="57"/>
        <v>2762324.4993257886</v>
      </c>
      <c r="BK81" s="154">
        <v>2762324.4993257876</v>
      </c>
      <c r="BL81" s="154">
        <v>0</v>
      </c>
      <c r="BM81" s="154">
        <v>2610272.4993257886</v>
      </c>
      <c r="BN81" s="154">
        <v>4136.723453765117</v>
      </c>
      <c r="BO81" s="154">
        <v>3880.7052690851738</v>
      </c>
      <c r="BP81" s="155">
        <v>0.06597207644689178</v>
      </c>
      <c r="BQ81" s="155">
        <v>0</v>
      </c>
      <c r="BR81" s="154">
        <v>0</v>
      </c>
      <c r="BS81" s="156">
        <f t="shared" si="58"/>
        <v>2762324.4993257886</v>
      </c>
      <c r="BT81" s="153">
        <v>-1381.8899999999999</v>
      </c>
      <c r="BU81" s="153">
        <v>-769.8199999999999</v>
      </c>
      <c r="BV81" s="157">
        <f t="shared" si="59"/>
        <v>2760172.7893257886</v>
      </c>
      <c r="BW81" s="80"/>
      <c r="BX81" s="208" t="e">
        <f>VLOOKUP(B81,#REF!,22,0)</f>
        <v>#REF!</v>
      </c>
      <c r="BY81" s="211" t="e">
        <f>VLOOKUP(B81,#REF!,11,0)</f>
        <v>#REF!</v>
      </c>
      <c r="BZ81" s="103"/>
      <c r="CA81" s="103"/>
      <c r="CB81" s="127">
        <v>124726</v>
      </c>
      <c r="CD81" s="200">
        <v>135845</v>
      </c>
      <c r="CE81" s="123"/>
      <c r="CF81" s="123">
        <v>7035</v>
      </c>
      <c r="CG81" s="123">
        <v>21914.166666666668</v>
      </c>
      <c r="CH81" s="123">
        <v>93081</v>
      </c>
      <c r="CI81" s="123">
        <v>11650</v>
      </c>
      <c r="CJ81" s="123"/>
      <c r="CK81" s="127"/>
    </row>
    <row r="82" spans="1:89" ht="14.25">
      <c r="A82" s="185">
        <v>3125400</v>
      </c>
      <c r="B82" s="188">
        <v>5400</v>
      </c>
      <c r="C82" s="102" t="s">
        <v>141</v>
      </c>
      <c r="D82" s="189">
        <v>932</v>
      </c>
      <c r="E82" s="189">
        <v>0</v>
      </c>
      <c r="F82" s="189">
        <v>932</v>
      </c>
      <c r="G82" s="189">
        <v>557</v>
      </c>
      <c r="H82" s="189">
        <v>375</v>
      </c>
      <c r="I82" s="189">
        <v>0</v>
      </c>
      <c r="J82" s="189">
        <v>272.1681034482759</v>
      </c>
      <c r="K82" s="189">
        <v>0</v>
      </c>
      <c r="L82" s="189">
        <v>0</v>
      </c>
      <c r="M82" s="189">
        <v>0</v>
      </c>
      <c r="N82" s="189">
        <v>0</v>
      </c>
      <c r="O82" s="189">
        <v>0</v>
      </c>
      <c r="P82" s="189">
        <v>0</v>
      </c>
      <c r="Q82" s="189">
        <v>249.00000000000006</v>
      </c>
      <c r="R82" s="189">
        <v>206.99999999999955</v>
      </c>
      <c r="S82" s="189">
        <v>166.99999999999983</v>
      </c>
      <c r="T82" s="189">
        <v>19</v>
      </c>
      <c r="U82" s="189">
        <v>2.000000000000004</v>
      </c>
      <c r="V82" s="189">
        <v>0</v>
      </c>
      <c r="W82" s="189">
        <v>0</v>
      </c>
      <c r="X82" s="189">
        <v>14.045209903121677</v>
      </c>
      <c r="Y82" s="189">
        <v>0</v>
      </c>
      <c r="Z82" s="189">
        <v>187.2035242166117</v>
      </c>
      <c r="AA82" s="189">
        <v>0</v>
      </c>
      <c r="AB82" s="189">
        <v>0</v>
      </c>
      <c r="AC82" s="152">
        <f t="shared" si="30"/>
        <v>0</v>
      </c>
      <c r="AD82" s="152">
        <f t="shared" si="31"/>
        <v>2482537.86</v>
      </c>
      <c r="AE82" s="152">
        <f t="shared" si="32"/>
        <v>1910130</v>
      </c>
      <c r="AF82" s="153">
        <f t="shared" si="33"/>
        <v>0</v>
      </c>
      <c r="AG82" s="153">
        <f t="shared" si="34"/>
        <v>364835.89931034483</v>
      </c>
      <c r="AH82" s="153">
        <f t="shared" si="35"/>
        <v>0</v>
      </c>
      <c r="AI82" s="153">
        <f t="shared" si="36"/>
        <v>0</v>
      </c>
      <c r="AJ82" s="153">
        <f t="shared" si="37"/>
        <v>0</v>
      </c>
      <c r="AK82" s="153">
        <f t="shared" si="38"/>
        <v>0</v>
      </c>
      <c r="AL82" s="153">
        <f t="shared" si="39"/>
        <v>0</v>
      </c>
      <c r="AM82" s="153">
        <f t="shared" si="40"/>
        <v>0</v>
      </c>
      <c r="AN82" s="153">
        <f t="shared" si="41"/>
        <v>21817.380000000005</v>
      </c>
      <c r="AO82" s="153">
        <f t="shared" si="42"/>
        <v>36276.74999999992</v>
      </c>
      <c r="AP82" s="153">
        <f t="shared" si="43"/>
        <v>43899.28999999996</v>
      </c>
      <c r="AQ82" s="153">
        <f t="shared" si="44"/>
        <v>6659.31</v>
      </c>
      <c r="AR82" s="153">
        <f t="shared" si="45"/>
        <v>876.2200000000017</v>
      </c>
      <c r="AS82" s="153">
        <f t="shared" si="46"/>
        <v>0</v>
      </c>
      <c r="AT82" s="153">
        <f t="shared" si="47"/>
        <v>0</v>
      </c>
      <c r="AU82" s="153">
        <f t="shared" si="48"/>
        <v>16267.021657696496</v>
      </c>
      <c r="AV82" s="153">
        <f t="shared" si="49"/>
        <v>0</v>
      </c>
      <c r="AW82" s="153">
        <f t="shared" si="50"/>
        <v>321241.24755570566</v>
      </c>
      <c r="AX82" s="153">
        <f t="shared" si="51"/>
        <v>0</v>
      </c>
      <c r="AY82" s="153">
        <f t="shared" si="52"/>
        <v>0</v>
      </c>
      <c r="AZ82" s="153">
        <v>140000</v>
      </c>
      <c r="BA82" s="151">
        <v>35500</v>
      </c>
      <c r="BB82" s="151">
        <v>2204</v>
      </c>
      <c r="BC82" s="153"/>
      <c r="BD82" s="153"/>
      <c r="BE82" s="153"/>
      <c r="BF82" s="153">
        <f t="shared" si="53"/>
        <v>4392667.859999999</v>
      </c>
      <c r="BG82" s="153">
        <f t="shared" si="54"/>
        <v>811873.118523747</v>
      </c>
      <c r="BH82" s="153">
        <f t="shared" si="55"/>
        <v>177704</v>
      </c>
      <c r="BI82" s="153">
        <f t="shared" si="56"/>
        <v>321241.24755570566</v>
      </c>
      <c r="BJ82" s="154">
        <f t="shared" si="57"/>
        <v>5382244.978523746</v>
      </c>
      <c r="BK82" s="154">
        <v>0</v>
      </c>
      <c r="BL82" s="154">
        <v>5382248.728523746</v>
      </c>
      <c r="BM82" s="154">
        <v>5204544.728523746</v>
      </c>
      <c r="BN82" s="154">
        <v>5584.275459789427</v>
      </c>
      <c r="BO82" s="154">
        <v>5236.537509267241</v>
      </c>
      <c r="BP82" s="155">
        <v>0.06640608415518555</v>
      </c>
      <c r="BQ82" s="155">
        <v>0</v>
      </c>
      <c r="BR82" s="154">
        <v>0</v>
      </c>
      <c r="BS82" s="156">
        <f t="shared" si="58"/>
        <v>5382244.978523746</v>
      </c>
      <c r="BT82" s="153">
        <v>0</v>
      </c>
      <c r="BU82" s="153">
        <v>0</v>
      </c>
      <c r="BV82" s="157">
        <f t="shared" si="59"/>
        <v>5382244.978523746</v>
      </c>
      <c r="BW82" s="80"/>
      <c r="BX82" s="208"/>
      <c r="BY82" s="103"/>
      <c r="BZ82" s="103"/>
      <c r="CA82" s="103"/>
      <c r="CB82" s="127">
        <v>180578</v>
      </c>
      <c r="CD82" s="200"/>
      <c r="CE82" s="123"/>
      <c r="CF82" s="123"/>
      <c r="CG82" s="123"/>
      <c r="CH82" s="123"/>
      <c r="CI82" s="123"/>
      <c r="CJ82" s="123"/>
      <c r="CK82" s="127"/>
    </row>
    <row r="83" spans="1:89" ht="14.25">
      <c r="A83" s="185">
        <v>3125401</v>
      </c>
      <c r="B83" s="188">
        <v>5401</v>
      </c>
      <c r="C83" s="102" t="s">
        <v>96</v>
      </c>
      <c r="D83" s="189">
        <v>1454</v>
      </c>
      <c r="E83" s="189">
        <v>0</v>
      </c>
      <c r="F83" s="189">
        <v>1454</v>
      </c>
      <c r="G83" s="189">
        <v>854</v>
      </c>
      <c r="H83" s="189">
        <v>600</v>
      </c>
      <c r="I83" s="189">
        <v>0</v>
      </c>
      <c r="J83" s="189">
        <v>269.7512297962052</v>
      </c>
      <c r="K83" s="189">
        <v>0</v>
      </c>
      <c r="L83" s="189">
        <v>0</v>
      </c>
      <c r="M83" s="189">
        <v>0</v>
      </c>
      <c r="N83" s="189">
        <v>0</v>
      </c>
      <c r="O83" s="189">
        <v>0</v>
      </c>
      <c r="P83" s="189">
        <v>0</v>
      </c>
      <c r="Q83" s="189">
        <v>183.00000000000009</v>
      </c>
      <c r="R83" s="189">
        <v>193.99999999999932</v>
      </c>
      <c r="S83" s="189">
        <v>35.99999999999998</v>
      </c>
      <c r="T83" s="189">
        <v>17.99999999999999</v>
      </c>
      <c r="U83" s="189">
        <v>13.000000000000002</v>
      </c>
      <c r="V83" s="189">
        <v>0</v>
      </c>
      <c r="W83" s="189">
        <v>0</v>
      </c>
      <c r="X83" s="189">
        <v>77.15920055134387</v>
      </c>
      <c r="Y83" s="189">
        <v>0</v>
      </c>
      <c r="Z83" s="189">
        <v>207.76412252422867</v>
      </c>
      <c r="AA83" s="189">
        <v>0</v>
      </c>
      <c r="AB83" s="189">
        <v>0</v>
      </c>
      <c r="AC83" s="152">
        <f t="shared" si="30"/>
        <v>0</v>
      </c>
      <c r="AD83" s="152">
        <f t="shared" si="31"/>
        <v>3806260.9199999995</v>
      </c>
      <c r="AE83" s="152">
        <f t="shared" si="32"/>
        <v>3056208</v>
      </c>
      <c r="AF83" s="153">
        <f t="shared" si="33"/>
        <v>0</v>
      </c>
      <c r="AG83" s="153">
        <f t="shared" si="34"/>
        <v>361596.1285172172</v>
      </c>
      <c r="AH83" s="153">
        <f t="shared" si="35"/>
        <v>0</v>
      </c>
      <c r="AI83" s="153">
        <f t="shared" si="36"/>
        <v>0</v>
      </c>
      <c r="AJ83" s="153">
        <f t="shared" si="37"/>
        <v>0</v>
      </c>
      <c r="AK83" s="153">
        <f t="shared" si="38"/>
        <v>0</v>
      </c>
      <c r="AL83" s="153">
        <f t="shared" si="39"/>
        <v>0</v>
      </c>
      <c r="AM83" s="153">
        <f t="shared" si="40"/>
        <v>0</v>
      </c>
      <c r="AN83" s="153">
        <f t="shared" si="41"/>
        <v>16034.460000000008</v>
      </c>
      <c r="AO83" s="153">
        <f t="shared" si="42"/>
        <v>33998.49999999988</v>
      </c>
      <c r="AP83" s="153">
        <f t="shared" si="43"/>
        <v>9463.319999999994</v>
      </c>
      <c r="AQ83" s="153">
        <f t="shared" si="44"/>
        <v>6308.819999999996</v>
      </c>
      <c r="AR83" s="153">
        <f t="shared" si="45"/>
        <v>5695.430000000001</v>
      </c>
      <c r="AS83" s="153">
        <f t="shared" si="46"/>
        <v>0</v>
      </c>
      <c r="AT83" s="153">
        <f t="shared" si="47"/>
        <v>0</v>
      </c>
      <c r="AU83" s="153">
        <f t="shared" si="48"/>
        <v>89365.01448656096</v>
      </c>
      <c r="AV83" s="153">
        <f t="shared" si="49"/>
        <v>0</v>
      </c>
      <c r="AW83" s="153">
        <f t="shared" si="50"/>
        <v>356523.2342515764</v>
      </c>
      <c r="AX83" s="153">
        <f t="shared" si="51"/>
        <v>0</v>
      </c>
      <c r="AY83" s="153">
        <f t="shared" si="52"/>
        <v>0</v>
      </c>
      <c r="AZ83" s="153">
        <v>140000</v>
      </c>
      <c r="BA83" s="151">
        <v>33750</v>
      </c>
      <c r="BB83" s="151">
        <v>1620</v>
      </c>
      <c r="BC83" s="153"/>
      <c r="BD83" s="153"/>
      <c r="BE83" s="153"/>
      <c r="BF83" s="153">
        <f t="shared" si="53"/>
        <v>6862468.92</v>
      </c>
      <c r="BG83" s="153">
        <f t="shared" si="54"/>
        <v>878984.9072553545</v>
      </c>
      <c r="BH83" s="153">
        <f t="shared" si="55"/>
        <v>175370</v>
      </c>
      <c r="BI83" s="153">
        <f t="shared" si="56"/>
        <v>356523.2342515764</v>
      </c>
      <c r="BJ83" s="154">
        <f t="shared" si="57"/>
        <v>7916823.827255354</v>
      </c>
      <c r="BK83" s="154">
        <v>0</v>
      </c>
      <c r="BL83" s="154">
        <v>7916829.827255353</v>
      </c>
      <c r="BM83" s="154">
        <v>7741459.827255353</v>
      </c>
      <c r="BN83" s="154">
        <v>5324.250225072457</v>
      </c>
      <c r="BO83" s="154">
        <v>4943.339250420168</v>
      </c>
      <c r="BP83" s="155">
        <v>0.07705539825532161</v>
      </c>
      <c r="BQ83" s="155">
        <v>0</v>
      </c>
      <c r="BR83" s="154">
        <v>0</v>
      </c>
      <c r="BS83" s="156">
        <f t="shared" si="58"/>
        <v>7916823.827255354</v>
      </c>
      <c r="BT83" s="153">
        <v>0</v>
      </c>
      <c r="BU83" s="153">
        <v>0</v>
      </c>
      <c r="BV83" s="157">
        <f t="shared" si="59"/>
        <v>7916823.827255354</v>
      </c>
      <c r="BW83" s="80"/>
      <c r="BX83" s="208"/>
      <c r="BY83" s="103"/>
      <c r="BZ83" s="103"/>
      <c r="CA83" s="103"/>
      <c r="CB83" s="127">
        <v>69925</v>
      </c>
      <c r="CD83" s="200"/>
      <c r="CE83" s="123"/>
      <c r="CF83" s="123"/>
      <c r="CG83" s="123"/>
      <c r="CH83" s="123"/>
      <c r="CI83" s="123"/>
      <c r="CJ83" s="123"/>
      <c r="CK83" s="127"/>
    </row>
    <row r="84" spans="1:89" ht="14.25">
      <c r="A84" s="185">
        <v>3125402</v>
      </c>
      <c r="B84" s="188">
        <v>5402</v>
      </c>
      <c r="C84" s="102" t="s">
        <v>97</v>
      </c>
      <c r="D84" s="189">
        <v>971</v>
      </c>
      <c r="E84" s="189">
        <v>0</v>
      </c>
      <c r="F84" s="189">
        <v>971</v>
      </c>
      <c r="G84" s="189">
        <v>602</v>
      </c>
      <c r="H84" s="189">
        <v>369</v>
      </c>
      <c r="I84" s="189">
        <v>0</v>
      </c>
      <c r="J84" s="189">
        <v>124.70581778265642</v>
      </c>
      <c r="K84" s="189">
        <v>0</v>
      </c>
      <c r="L84" s="189">
        <v>0</v>
      </c>
      <c r="M84" s="189">
        <v>0</v>
      </c>
      <c r="N84" s="189">
        <v>0</v>
      </c>
      <c r="O84" s="189">
        <v>0</v>
      </c>
      <c r="P84" s="189">
        <v>0</v>
      </c>
      <c r="Q84" s="189">
        <v>104.0000000000003</v>
      </c>
      <c r="R84" s="189">
        <v>26.00000000000003</v>
      </c>
      <c r="S84" s="189">
        <v>10.000000000000027</v>
      </c>
      <c r="T84" s="189">
        <v>2.999999999999998</v>
      </c>
      <c r="U84" s="189">
        <v>1.9999999999999953</v>
      </c>
      <c r="V84" s="189">
        <v>0</v>
      </c>
      <c r="W84" s="189">
        <v>0</v>
      </c>
      <c r="X84" s="189">
        <v>19.999999999999954</v>
      </c>
      <c r="Y84" s="189">
        <v>0</v>
      </c>
      <c r="Z84" s="189">
        <v>164.742851271084</v>
      </c>
      <c r="AA84" s="189">
        <v>0</v>
      </c>
      <c r="AB84" s="189">
        <v>0</v>
      </c>
      <c r="AC84" s="152">
        <f t="shared" si="30"/>
        <v>0</v>
      </c>
      <c r="AD84" s="152">
        <f t="shared" si="31"/>
        <v>2683101.96</v>
      </c>
      <c r="AE84" s="152">
        <f t="shared" si="32"/>
        <v>1879567.9200000002</v>
      </c>
      <c r="AF84" s="153">
        <f t="shared" si="33"/>
        <v>0</v>
      </c>
      <c r="AG84" s="153">
        <f t="shared" si="34"/>
        <v>167165.65462129528</v>
      </c>
      <c r="AH84" s="153">
        <f t="shared" si="35"/>
        <v>0</v>
      </c>
      <c r="AI84" s="153">
        <f t="shared" si="36"/>
        <v>0</v>
      </c>
      <c r="AJ84" s="153">
        <f t="shared" si="37"/>
        <v>0</v>
      </c>
      <c r="AK84" s="153">
        <f t="shared" si="38"/>
        <v>0</v>
      </c>
      <c r="AL84" s="153">
        <f t="shared" si="39"/>
        <v>0</v>
      </c>
      <c r="AM84" s="153">
        <f t="shared" si="40"/>
        <v>0</v>
      </c>
      <c r="AN84" s="153">
        <f t="shared" si="41"/>
        <v>9112.480000000027</v>
      </c>
      <c r="AO84" s="153">
        <f t="shared" si="42"/>
        <v>4556.500000000005</v>
      </c>
      <c r="AP84" s="153">
        <f t="shared" si="43"/>
        <v>2628.700000000007</v>
      </c>
      <c r="AQ84" s="153">
        <f t="shared" si="44"/>
        <v>1051.4699999999993</v>
      </c>
      <c r="AR84" s="153">
        <f t="shared" si="45"/>
        <v>876.219999999998</v>
      </c>
      <c r="AS84" s="153">
        <f t="shared" si="46"/>
        <v>0</v>
      </c>
      <c r="AT84" s="153">
        <f t="shared" si="47"/>
        <v>0</v>
      </c>
      <c r="AU84" s="153">
        <f t="shared" si="48"/>
        <v>23163.79999999995</v>
      </c>
      <c r="AV84" s="153">
        <f t="shared" si="49"/>
        <v>0</v>
      </c>
      <c r="AW84" s="153">
        <f t="shared" si="50"/>
        <v>282698.7327811801</v>
      </c>
      <c r="AX84" s="153">
        <f t="shared" si="51"/>
        <v>0</v>
      </c>
      <c r="AY84" s="153">
        <f t="shared" si="52"/>
        <v>0</v>
      </c>
      <c r="AZ84" s="153">
        <v>140000</v>
      </c>
      <c r="BA84" s="151">
        <v>29750</v>
      </c>
      <c r="BB84" s="151">
        <v>1428</v>
      </c>
      <c r="BC84" s="153"/>
      <c r="BD84" s="153"/>
      <c r="BE84" s="153"/>
      <c r="BF84" s="153">
        <f t="shared" si="53"/>
        <v>4562669.88</v>
      </c>
      <c r="BG84" s="153">
        <f t="shared" si="54"/>
        <v>491253.5574024754</v>
      </c>
      <c r="BH84" s="153">
        <f t="shared" si="55"/>
        <v>171178</v>
      </c>
      <c r="BI84" s="153">
        <f t="shared" si="56"/>
        <v>282698.7327811801</v>
      </c>
      <c r="BJ84" s="154">
        <f t="shared" si="57"/>
        <v>5225101.437402476</v>
      </c>
      <c r="BK84" s="154">
        <v>0</v>
      </c>
      <c r="BL84" s="154">
        <v>5225105.127402476</v>
      </c>
      <c r="BM84" s="154">
        <v>5053927.127402476</v>
      </c>
      <c r="BN84" s="154">
        <v>5204.868308344466</v>
      </c>
      <c r="BO84" s="154">
        <v>4826.363944444444</v>
      </c>
      <c r="BP84" s="155">
        <v>0.0784243310817271</v>
      </c>
      <c r="BQ84" s="155">
        <v>0</v>
      </c>
      <c r="BR84" s="154">
        <v>0</v>
      </c>
      <c r="BS84" s="156">
        <f t="shared" si="58"/>
        <v>5225101.437402476</v>
      </c>
      <c r="BT84" s="153">
        <v>0</v>
      </c>
      <c r="BU84" s="153">
        <v>0</v>
      </c>
      <c r="BV84" s="157">
        <f t="shared" si="59"/>
        <v>5225101.437402476</v>
      </c>
      <c r="BW84" s="80"/>
      <c r="BX84" s="208"/>
      <c r="BY84" s="103"/>
      <c r="BZ84" s="103">
        <v>137040</v>
      </c>
      <c r="CA84" s="103">
        <v>90499</v>
      </c>
      <c r="CB84" s="127">
        <v>151960</v>
      </c>
      <c r="CD84" s="200"/>
      <c r="CE84" s="123"/>
      <c r="CF84" s="123"/>
      <c r="CG84" s="123"/>
      <c r="CH84" s="123"/>
      <c r="CI84" s="123"/>
      <c r="CJ84" s="123"/>
      <c r="CK84" s="127"/>
    </row>
    <row r="85" spans="1:89" ht="14.25">
      <c r="A85" s="185">
        <v>3125403</v>
      </c>
      <c r="B85" s="188">
        <v>5403</v>
      </c>
      <c r="C85" s="102" t="s">
        <v>44</v>
      </c>
      <c r="D85" s="189">
        <v>1201</v>
      </c>
      <c r="E85" s="189">
        <v>0</v>
      </c>
      <c r="F85" s="189">
        <v>1201</v>
      </c>
      <c r="G85" s="189">
        <v>721</v>
      </c>
      <c r="H85" s="189">
        <v>480</v>
      </c>
      <c r="I85" s="189">
        <v>0</v>
      </c>
      <c r="J85" s="189">
        <v>314.26166666666666</v>
      </c>
      <c r="K85" s="189">
        <v>0</v>
      </c>
      <c r="L85" s="189">
        <v>0</v>
      </c>
      <c r="M85" s="189">
        <v>0</v>
      </c>
      <c r="N85" s="189">
        <v>0</v>
      </c>
      <c r="O85" s="189">
        <v>0</v>
      </c>
      <c r="P85" s="189">
        <v>0</v>
      </c>
      <c r="Q85" s="189">
        <v>156.00000000000048</v>
      </c>
      <c r="R85" s="189">
        <v>180.99999999999983</v>
      </c>
      <c r="S85" s="189">
        <v>97.00000000000003</v>
      </c>
      <c r="T85" s="189">
        <v>14.000000000000032</v>
      </c>
      <c r="U85" s="189">
        <v>82.99999999999999</v>
      </c>
      <c r="V85" s="189">
        <v>0</v>
      </c>
      <c r="W85" s="189">
        <v>0</v>
      </c>
      <c r="X85" s="189">
        <v>27.06761268781306</v>
      </c>
      <c r="Y85" s="189">
        <v>0</v>
      </c>
      <c r="Z85" s="189">
        <v>234.7383269007724</v>
      </c>
      <c r="AA85" s="189">
        <v>0</v>
      </c>
      <c r="AB85" s="189">
        <v>0</v>
      </c>
      <c r="AC85" s="152">
        <f t="shared" si="30"/>
        <v>0</v>
      </c>
      <c r="AD85" s="152">
        <f t="shared" si="31"/>
        <v>3213482.5799999996</v>
      </c>
      <c r="AE85" s="152">
        <f t="shared" si="32"/>
        <v>2444966.4000000004</v>
      </c>
      <c r="AF85" s="153">
        <f t="shared" si="33"/>
        <v>0</v>
      </c>
      <c r="AG85" s="153">
        <f t="shared" si="34"/>
        <v>421261.4789333333</v>
      </c>
      <c r="AH85" s="153">
        <f t="shared" si="35"/>
        <v>0</v>
      </c>
      <c r="AI85" s="153">
        <f t="shared" si="36"/>
        <v>0</v>
      </c>
      <c r="AJ85" s="153">
        <f t="shared" si="37"/>
        <v>0</v>
      </c>
      <c r="AK85" s="153">
        <f t="shared" si="38"/>
        <v>0</v>
      </c>
      <c r="AL85" s="153">
        <f t="shared" si="39"/>
        <v>0</v>
      </c>
      <c r="AM85" s="153">
        <f t="shared" si="40"/>
        <v>0</v>
      </c>
      <c r="AN85" s="153">
        <f t="shared" si="41"/>
        <v>13668.720000000043</v>
      </c>
      <c r="AO85" s="153">
        <f t="shared" si="42"/>
        <v>31720.24999999997</v>
      </c>
      <c r="AP85" s="153">
        <f t="shared" si="43"/>
        <v>25498.390000000007</v>
      </c>
      <c r="AQ85" s="153">
        <f t="shared" si="44"/>
        <v>4906.8600000000115</v>
      </c>
      <c r="AR85" s="153">
        <f t="shared" si="45"/>
        <v>36363.13</v>
      </c>
      <c r="AS85" s="153">
        <f t="shared" si="46"/>
        <v>0</v>
      </c>
      <c r="AT85" s="153">
        <f t="shared" si="47"/>
        <v>0</v>
      </c>
      <c r="AU85" s="153">
        <f t="shared" si="48"/>
        <v>31349.43833889821</v>
      </c>
      <c r="AV85" s="153">
        <f t="shared" si="49"/>
        <v>0</v>
      </c>
      <c r="AW85" s="153">
        <f t="shared" si="50"/>
        <v>402810.9689617254</v>
      </c>
      <c r="AX85" s="153">
        <f t="shared" si="51"/>
        <v>0</v>
      </c>
      <c r="AY85" s="153">
        <f t="shared" si="52"/>
        <v>0</v>
      </c>
      <c r="AZ85" s="153">
        <v>140000</v>
      </c>
      <c r="BA85" s="151">
        <v>36750</v>
      </c>
      <c r="BB85" s="151">
        <v>1764</v>
      </c>
      <c r="BC85" s="153"/>
      <c r="BD85" s="153"/>
      <c r="BE85" s="153"/>
      <c r="BF85" s="153">
        <f t="shared" si="53"/>
        <v>5658448.98</v>
      </c>
      <c r="BG85" s="153">
        <f t="shared" si="54"/>
        <v>967579.2362339569</v>
      </c>
      <c r="BH85" s="153">
        <f t="shared" si="55"/>
        <v>178514</v>
      </c>
      <c r="BI85" s="153">
        <f t="shared" si="56"/>
        <v>402810.9689617254</v>
      </c>
      <c r="BJ85" s="154">
        <f t="shared" si="57"/>
        <v>6804542.216233958</v>
      </c>
      <c r="BK85" s="154">
        <v>0</v>
      </c>
      <c r="BL85" s="154">
        <v>6804547.0162339555</v>
      </c>
      <c r="BM85" s="154">
        <v>6626033.016233956</v>
      </c>
      <c r="BN85" s="154">
        <v>5517.096599695217</v>
      </c>
      <c r="BO85" s="154">
        <v>5175.4231857978275</v>
      </c>
      <c r="BP85" s="155">
        <v>0.06601844943520661</v>
      </c>
      <c r="BQ85" s="155">
        <v>0</v>
      </c>
      <c r="BR85" s="154">
        <v>0</v>
      </c>
      <c r="BS85" s="156">
        <f t="shared" si="58"/>
        <v>6804542.216233958</v>
      </c>
      <c r="BT85" s="153">
        <v>0</v>
      </c>
      <c r="BU85" s="153">
        <v>0</v>
      </c>
      <c r="BV85" s="157">
        <f t="shared" si="59"/>
        <v>6804542.216233958</v>
      </c>
      <c r="BW85" s="80"/>
      <c r="BX85" s="208"/>
      <c r="BY85" s="103"/>
      <c r="BZ85" s="103"/>
      <c r="CA85" s="103"/>
      <c r="CB85" s="127">
        <v>74200</v>
      </c>
      <c r="CD85" s="200"/>
      <c r="CE85" s="123"/>
      <c r="CF85" s="123"/>
      <c r="CG85" s="123"/>
      <c r="CH85" s="123"/>
      <c r="CI85" s="123"/>
      <c r="CJ85" s="123"/>
      <c r="CK85" s="127"/>
    </row>
    <row r="86" spans="1:89" ht="14.25">
      <c r="A86" s="185">
        <v>3125404</v>
      </c>
      <c r="B86" s="188">
        <v>5404</v>
      </c>
      <c r="C86" s="102" t="s">
        <v>45</v>
      </c>
      <c r="D86" s="189">
        <v>1101</v>
      </c>
      <c r="E86" s="189">
        <v>0</v>
      </c>
      <c r="F86" s="189">
        <v>1101</v>
      </c>
      <c r="G86" s="189">
        <v>688</v>
      </c>
      <c r="H86" s="189">
        <v>413</v>
      </c>
      <c r="I86" s="189">
        <v>0</v>
      </c>
      <c r="J86" s="189">
        <v>472.0056657223796</v>
      </c>
      <c r="K86" s="189">
        <v>0</v>
      </c>
      <c r="L86" s="189">
        <v>0</v>
      </c>
      <c r="M86" s="189">
        <v>0</v>
      </c>
      <c r="N86" s="189">
        <v>0</v>
      </c>
      <c r="O86" s="189">
        <v>0</v>
      </c>
      <c r="P86" s="189">
        <v>0</v>
      </c>
      <c r="Q86" s="189">
        <v>214.19454545454596</v>
      </c>
      <c r="R86" s="189">
        <v>348.31636363636323</v>
      </c>
      <c r="S86" s="189">
        <v>215.19545454545403</v>
      </c>
      <c r="T86" s="189">
        <v>106.09636363636368</v>
      </c>
      <c r="U86" s="189">
        <v>24.021818181818162</v>
      </c>
      <c r="V86" s="189">
        <v>1.0009090909090907</v>
      </c>
      <c r="W86" s="189">
        <v>0</v>
      </c>
      <c r="X86" s="189">
        <v>64.21636876763878</v>
      </c>
      <c r="Y86" s="189">
        <v>0</v>
      </c>
      <c r="Z86" s="189">
        <v>255.575661006284</v>
      </c>
      <c r="AA86" s="189">
        <v>0</v>
      </c>
      <c r="AB86" s="189">
        <v>0</v>
      </c>
      <c r="AC86" s="152">
        <f t="shared" si="30"/>
        <v>0</v>
      </c>
      <c r="AD86" s="152">
        <f t="shared" si="31"/>
        <v>3066402.2399999998</v>
      </c>
      <c r="AE86" s="152">
        <f t="shared" si="32"/>
        <v>2103689.8400000003</v>
      </c>
      <c r="AF86" s="153">
        <f t="shared" si="33"/>
        <v>0</v>
      </c>
      <c r="AG86" s="153">
        <f t="shared" si="34"/>
        <v>632714.1547875354</v>
      </c>
      <c r="AH86" s="153">
        <f t="shared" si="35"/>
        <v>0</v>
      </c>
      <c r="AI86" s="153">
        <f t="shared" si="36"/>
        <v>0</v>
      </c>
      <c r="AJ86" s="153">
        <f t="shared" si="37"/>
        <v>0</v>
      </c>
      <c r="AK86" s="153">
        <f t="shared" si="38"/>
        <v>0</v>
      </c>
      <c r="AL86" s="153">
        <f t="shared" si="39"/>
        <v>0</v>
      </c>
      <c r="AM86" s="153">
        <f t="shared" si="40"/>
        <v>0</v>
      </c>
      <c r="AN86" s="153">
        <f t="shared" si="41"/>
        <v>18767.726072727317</v>
      </c>
      <c r="AO86" s="153">
        <f t="shared" si="42"/>
        <v>61042.44272727265</v>
      </c>
      <c r="AP86" s="153">
        <f t="shared" si="43"/>
        <v>56568.4291363635</v>
      </c>
      <c r="AQ86" s="153">
        <f t="shared" si="44"/>
        <v>37185.71449090911</v>
      </c>
      <c r="AR86" s="153">
        <f t="shared" si="45"/>
        <v>10524.198763636356</v>
      </c>
      <c r="AS86" s="153">
        <f t="shared" si="46"/>
        <v>526.2179454545454</v>
      </c>
      <c r="AT86" s="153">
        <f t="shared" si="47"/>
        <v>0</v>
      </c>
      <c r="AU86" s="153">
        <f t="shared" si="48"/>
        <v>74374.75614299157</v>
      </c>
      <c r="AV86" s="153">
        <f t="shared" si="49"/>
        <v>0</v>
      </c>
      <c r="AW86" s="153">
        <f t="shared" si="50"/>
        <v>438567.83428678336</v>
      </c>
      <c r="AX86" s="153">
        <f t="shared" si="51"/>
        <v>0</v>
      </c>
      <c r="AY86" s="153">
        <f t="shared" si="52"/>
        <v>0</v>
      </c>
      <c r="AZ86" s="153">
        <v>140000</v>
      </c>
      <c r="BA86" s="151">
        <v>38750</v>
      </c>
      <c r="BB86" s="151">
        <v>1860</v>
      </c>
      <c r="BC86" s="153"/>
      <c r="BD86" s="153"/>
      <c r="BE86" s="153"/>
      <c r="BF86" s="153">
        <f t="shared" si="53"/>
        <v>5170092.08</v>
      </c>
      <c r="BG86" s="153">
        <f t="shared" si="54"/>
        <v>1330271.4743536739</v>
      </c>
      <c r="BH86" s="153">
        <f t="shared" si="55"/>
        <v>180610</v>
      </c>
      <c r="BI86" s="153">
        <f t="shared" si="56"/>
        <v>438567.83428678336</v>
      </c>
      <c r="BJ86" s="154">
        <f t="shared" si="57"/>
        <v>6680973.554353674</v>
      </c>
      <c r="BK86" s="154">
        <v>0</v>
      </c>
      <c r="BL86" s="154">
        <v>6680977.684353674</v>
      </c>
      <c r="BM86" s="154">
        <v>6500367.684353673</v>
      </c>
      <c r="BN86" s="154">
        <v>5904.057842283081</v>
      </c>
      <c r="BO86" s="154">
        <v>5524.394540469483</v>
      </c>
      <c r="BP86" s="155">
        <v>0.06872487093967276</v>
      </c>
      <c r="BQ86" s="155">
        <v>0</v>
      </c>
      <c r="BR86" s="154">
        <v>0</v>
      </c>
      <c r="BS86" s="156">
        <f t="shared" si="58"/>
        <v>6680973.554353674</v>
      </c>
      <c r="BT86" s="153">
        <v>0</v>
      </c>
      <c r="BU86" s="153">
        <v>0</v>
      </c>
      <c r="BV86" s="157">
        <f t="shared" si="59"/>
        <v>6680973.554353674</v>
      </c>
      <c r="BW86" s="80"/>
      <c r="BX86" s="208"/>
      <c r="BY86" s="103"/>
      <c r="BZ86" s="103"/>
      <c r="CA86" s="103"/>
      <c r="CB86" s="127">
        <v>80585</v>
      </c>
      <c r="CD86" s="200"/>
      <c r="CE86" s="123"/>
      <c r="CF86" s="123"/>
      <c r="CG86" s="123"/>
      <c r="CH86" s="123"/>
      <c r="CI86" s="123"/>
      <c r="CJ86" s="123"/>
      <c r="CK86" s="127"/>
    </row>
    <row r="87" spans="1:89" ht="14.25">
      <c r="A87" s="185">
        <v>3125405</v>
      </c>
      <c r="B87" s="188">
        <v>5405</v>
      </c>
      <c r="C87" s="102" t="s">
        <v>98</v>
      </c>
      <c r="D87" s="189">
        <v>844</v>
      </c>
      <c r="E87" s="189">
        <v>0</v>
      </c>
      <c r="F87" s="189">
        <v>844</v>
      </c>
      <c r="G87" s="189">
        <v>537</v>
      </c>
      <c r="H87" s="189">
        <v>307</v>
      </c>
      <c r="I87" s="189">
        <v>0</v>
      </c>
      <c r="J87" s="189">
        <v>220.3655352480418</v>
      </c>
      <c r="K87" s="189">
        <v>0</v>
      </c>
      <c r="L87" s="189">
        <v>0</v>
      </c>
      <c r="M87" s="189">
        <v>0</v>
      </c>
      <c r="N87" s="189">
        <v>0</v>
      </c>
      <c r="O87" s="189">
        <v>0</v>
      </c>
      <c r="P87" s="189">
        <v>0</v>
      </c>
      <c r="Q87" s="189">
        <v>141.99999999999972</v>
      </c>
      <c r="R87" s="189">
        <v>137.99999999999972</v>
      </c>
      <c r="S87" s="189">
        <v>12.99999999999997</v>
      </c>
      <c r="T87" s="189">
        <v>10.999999999999968</v>
      </c>
      <c r="U87" s="189">
        <v>3.000000000000003</v>
      </c>
      <c r="V87" s="189">
        <v>2.0000000000000018</v>
      </c>
      <c r="W87" s="189">
        <v>0</v>
      </c>
      <c r="X87" s="189">
        <v>51.99999999999997</v>
      </c>
      <c r="Y87" s="189">
        <v>0</v>
      </c>
      <c r="Z87" s="189">
        <v>199.31093811244335</v>
      </c>
      <c r="AA87" s="189">
        <v>0</v>
      </c>
      <c r="AB87" s="189">
        <v>0</v>
      </c>
      <c r="AC87" s="152">
        <f t="shared" si="30"/>
        <v>0</v>
      </c>
      <c r="AD87" s="152">
        <f t="shared" si="31"/>
        <v>2393398.26</v>
      </c>
      <c r="AE87" s="152">
        <f t="shared" si="32"/>
        <v>1563759.76</v>
      </c>
      <c r="AF87" s="153">
        <f t="shared" si="33"/>
        <v>0</v>
      </c>
      <c r="AG87" s="153">
        <f t="shared" si="34"/>
        <v>295395.59268929507</v>
      </c>
      <c r="AH87" s="153">
        <f t="shared" si="35"/>
        <v>0</v>
      </c>
      <c r="AI87" s="153">
        <f t="shared" si="36"/>
        <v>0</v>
      </c>
      <c r="AJ87" s="153">
        <f t="shared" si="37"/>
        <v>0</v>
      </c>
      <c r="AK87" s="153">
        <f t="shared" si="38"/>
        <v>0</v>
      </c>
      <c r="AL87" s="153">
        <f t="shared" si="39"/>
        <v>0</v>
      </c>
      <c r="AM87" s="153">
        <f t="shared" si="40"/>
        <v>0</v>
      </c>
      <c r="AN87" s="153">
        <f t="shared" si="41"/>
        <v>12442.039999999975</v>
      </c>
      <c r="AO87" s="153">
        <f t="shared" si="42"/>
        <v>24184.49999999995</v>
      </c>
      <c r="AP87" s="153">
        <f t="shared" si="43"/>
        <v>3417.309999999992</v>
      </c>
      <c r="AQ87" s="153">
        <f t="shared" si="44"/>
        <v>3855.389999999989</v>
      </c>
      <c r="AR87" s="153">
        <f t="shared" si="45"/>
        <v>1314.3300000000013</v>
      </c>
      <c r="AS87" s="153">
        <f t="shared" si="46"/>
        <v>1051.480000000001</v>
      </c>
      <c r="AT87" s="153">
        <f t="shared" si="47"/>
        <v>0</v>
      </c>
      <c r="AU87" s="153">
        <f t="shared" si="48"/>
        <v>60225.87999999997</v>
      </c>
      <c r="AV87" s="153">
        <f t="shared" si="49"/>
        <v>0</v>
      </c>
      <c r="AW87" s="153">
        <f t="shared" si="50"/>
        <v>342017.5698009528</v>
      </c>
      <c r="AX87" s="153">
        <f t="shared" si="51"/>
        <v>0</v>
      </c>
      <c r="AY87" s="153">
        <f t="shared" si="52"/>
        <v>0</v>
      </c>
      <c r="AZ87" s="153">
        <v>140000</v>
      </c>
      <c r="BA87" s="151">
        <v>48500</v>
      </c>
      <c r="BB87" s="151">
        <v>10232.15</v>
      </c>
      <c r="BC87" s="153"/>
      <c r="BD87" s="153"/>
      <c r="BE87" s="153"/>
      <c r="BF87" s="153">
        <f t="shared" si="53"/>
        <v>3957158.0199999996</v>
      </c>
      <c r="BG87" s="153">
        <f t="shared" si="54"/>
        <v>743904.0924902477</v>
      </c>
      <c r="BH87" s="153">
        <f t="shared" si="55"/>
        <v>198732.15</v>
      </c>
      <c r="BI87" s="153">
        <f t="shared" si="56"/>
        <v>342017.5698009528</v>
      </c>
      <c r="BJ87" s="154">
        <f t="shared" si="57"/>
        <v>4899794.262490247</v>
      </c>
      <c r="BK87" s="154">
        <v>0</v>
      </c>
      <c r="BL87" s="154">
        <v>4899797.332490248</v>
      </c>
      <c r="BM87" s="154">
        <v>4701065.182490247</v>
      </c>
      <c r="BN87" s="154">
        <v>5569.982443708824</v>
      </c>
      <c r="BO87" s="154">
        <v>5777.904545992116</v>
      </c>
      <c r="BP87" s="155">
        <v>-0.03598572815252187</v>
      </c>
      <c r="BQ87" s="155">
        <v>0.04098572815252187</v>
      </c>
      <c r="BR87" s="154">
        <v>199869.01151118567</v>
      </c>
      <c r="BS87" s="156">
        <f>BJ87+BR87</f>
        <v>5099663.274001433</v>
      </c>
      <c r="BT87" s="153">
        <v>0</v>
      </c>
      <c r="BU87" s="153">
        <v>0</v>
      </c>
      <c r="BV87" s="157">
        <f t="shared" si="59"/>
        <v>5099663.274001433</v>
      </c>
      <c r="BW87" s="80"/>
      <c r="BX87" s="208"/>
      <c r="BY87" s="103"/>
      <c r="BZ87" s="103">
        <v>68520</v>
      </c>
      <c r="CA87" s="103">
        <v>45249</v>
      </c>
      <c r="CB87" s="127">
        <v>58100</v>
      </c>
      <c r="CD87" s="200"/>
      <c r="CE87" s="123"/>
      <c r="CF87" s="123"/>
      <c r="CG87" s="123"/>
      <c r="CH87" s="123"/>
      <c r="CI87" s="123"/>
      <c r="CJ87" s="123"/>
      <c r="CK87" s="127"/>
    </row>
    <row r="88" spans="1:89" ht="14.25">
      <c r="A88" s="185">
        <v>3125406</v>
      </c>
      <c r="B88" s="188">
        <v>5406</v>
      </c>
      <c r="C88" s="102" t="s">
        <v>46</v>
      </c>
      <c r="D88" s="189">
        <v>718</v>
      </c>
      <c r="E88" s="189">
        <v>0</v>
      </c>
      <c r="F88" s="189">
        <v>718</v>
      </c>
      <c r="G88" s="189">
        <v>489</v>
      </c>
      <c r="H88" s="189">
        <v>229</v>
      </c>
      <c r="I88" s="189">
        <v>0</v>
      </c>
      <c r="J88" s="189">
        <v>281.4063400576369</v>
      </c>
      <c r="K88" s="189">
        <v>0</v>
      </c>
      <c r="L88" s="189">
        <v>0</v>
      </c>
      <c r="M88" s="189">
        <v>0</v>
      </c>
      <c r="N88" s="189">
        <v>0</v>
      </c>
      <c r="O88" s="189">
        <v>0</v>
      </c>
      <c r="P88" s="189">
        <v>0</v>
      </c>
      <c r="Q88" s="189">
        <v>182.25383542538387</v>
      </c>
      <c r="R88" s="189">
        <v>179.2496513249655</v>
      </c>
      <c r="S88" s="189">
        <v>238.33193863319366</v>
      </c>
      <c r="T88" s="189">
        <v>35.048814504881456</v>
      </c>
      <c r="U88" s="189">
        <v>7.009762900976292</v>
      </c>
      <c r="V88" s="189">
        <v>0</v>
      </c>
      <c r="W88" s="189">
        <v>0</v>
      </c>
      <c r="X88" s="189">
        <v>42.17622377622374</v>
      </c>
      <c r="Y88" s="189">
        <v>0</v>
      </c>
      <c r="Z88" s="189">
        <v>186.25677157733517</v>
      </c>
      <c r="AA88" s="189">
        <v>0</v>
      </c>
      <c r="AB88" s="189">
        <v>11.919999999999998</v>
      </c>
      <c r="AC88" s="152">
        <f t="shared" si="30"/>
        <v>0</v>
      </c>
      <c r="AD88" s="152">
        <f t="shared" si="31"/>
        <v>2179463.2199999997</v>
      </c>
      <c r="AE88" s="152">
        <f t="shared" si="32"/>
        <v>1166452.72</v>
      </c>
      <c r="AF88" s="153">
        <f t="shared" si="33"/>
        <v>0</v>
      </c>
      <c r="AG88" s="153">
        <f t="shared" si="34"/>
        <v>377219.57072046114</v>
      </c>
      <c r="AH88" s="153">
        <f t="shared" si="35"/>
        <v>0</v>
      </c>
      <c r="AI88" s="153">
        <f t="shared" si="36"/>
        <v>0</v>
      </c>
      <c r="AJ88" s="153">
        <f t="shared" si="37"/>
        <v>0</v>
      </c>
      <c r="AK88" s="153">
        <f t="shared" si="38"/>
        <v>0</v>
      </c>
      <c r="AL88" s="153">
        <f t="shared" si="39"/>
        <v>0</v>
      </c>
      <c r="AM88" s="153">
        <f t="shared" si="40"/>
        <v>0</v>
      </c>
      <c r="AN88" s="153">
        <f t="shared" si="41"/>
        <v>15969.081059972135</v>
      </c>
      <c r="AO88" s="153">
        <f t="shared" si="42"/>
        <v>31413.501394700204</v>
      </c>
      <c r="AP88" s="153">
        <f t="shared" si="43"/>
        <v>62650.31670850762</v>
      </c>
      <c r="AQ88" s="153">
        <f t="shared" si="44"/>
        <v>12284.258995815902</v>
      </c>
      <c r="AR88" s="153">
        <f t="shared" si="45"/>
        <v>3071.0472245467236</v>
      </c>
      <c r="AS88" s="153">
        <f t="shared" si="46"/>
        <v>0</v>
      </c>
      <c r="AT88" s="153">
        <f t="shared" si="47"/>
        <v>0</v>
      </c>
      <c r="AU88" s="153">
        <f t="shared" si="48"/>
        <v>48848.08061538458</v>
      </c>
      <c r="AV88" s="153">
        <f t="shared" si="49"/>
        <v>0</v>
      </c>
      <c r="AW88" s="153">
        <f t="shared" si="50"/>
        <v>319616.6200267072</v>
      </c>
      <c r="AX88" s="153">
        <f t="shared" si="51"/>
        <v>0</v>
      </c>
      <c r="AY88" s="153">
        <f t="shared" si="52"/>
        <v>14876.159999999998</v>
      </c>
      <c r="AZ88" s="153">
        <v>140000</v>
      </c>
      <c r="BA88" s="151">
        <v>28000</v>
      </c>
      <c r="BB88" s="151">
        <v>6763.64</v>
      </c>
      <c r="BC88" s="153"/>
      <c r="BD88" s="153"/>
      <c r="BE88" s="153"/>
      <c r="BF88" s="153">
        <f t="shared" si="53"/>
        <v>3345915.9399999995</v>
      </c>
      <c r="BG88" s="153">
        <f t="shared" si="54"/>
        <v>885948.6367460955</v>
      </c>
      <c r="BH88" s="153">
        <f t="shared" si="55"/>
        <v>174763.64</v>
      </c>
      <c r="BI88" s="153">
        <f t="shared" si="56"/>
        <v>319616.6200267072</v>
      </c>
      <c r="BJ88" s="154">
        <f t="shared" si="57"/>
        <v>4406628.216746095</v>
      </c>
      <c r="BK88" s="154">
        <v>0</v>
      </c>
      <c r="BL88" s="154">
        <v>4406630.506746096</v>
      </c>
      <c r="BM88" s="154">
        <v>4231866.866746095</v>
      </c>
      <c r="BN88" s="154">
        <v>5893.964995468099</v>
      </c>
      <c r="BO88" s="154">
        <v>6255.235373684211</v>
      </c>
      <c r="BP88" s="155">
        <v>-0.05775488157263864</v>
      </c>
      <c r="BQ88" s="155">
        <v>0.06275488157263864</v>
      </c>
      <c r="BR88" s="154">
        <v>281848.42655069445</v>
      </c>
      <c r="BS88" s="156">
        <f t="shared" si="58"/>
        <v>4688476.643296789</v>
      </c>
      <c r="BT88" s="153">
        <v>0</v>
      </c>
      <c r="BU88" s="153">
        <v>0</v>
      </c>
      <c r="BV88" s="157">
        <f t="shared" si="59"/>
        <v>4688476.643296789</v>
      </c>
      <c r="BW88" s="80"/>
      <c r="BX88" s="208"/>
      <c r="BY88" s="103"/>
      <c r="BZ88" s="103"/>
      <c r="CA88" s="103"/>
      <c r="CB88" s="127">
        <v>89700</v>
      </c>
      <c r="CD88" s="200"/>
      <c r="CE88" s="123"/>
      <c r="CF88" s="123"/>
      <c r="CG88" s="123"/>
      <c r="CH88" s="123"/>
      <c r="CI88" s="123"/>
      <c r="CJ88" s="123"/>
      <c r="CK88" s="127"/>
    </row>
    <row r="89" spans="1:89" ht="14.25">
      <c r="A89" s="185">
        <v>3125407</v>
      </c>
      <c r="B89" s="188">
        <v>5407</v>
      </c>
      <c r="C89" s="102" t="s">
        <v>47</v>
      </c>
      <c r="D89" s="189">
        <v>352</v>
      </c>
      <c r="E89" s="189">
        <v>0</v>
      </c>
      <c r="F89" s="189">
        <v>352</v>
      </c>
      <c r="G89" s="189">
        <v>249</v>
      </c>
      <c r="H89" s="189">
        <v>103</v>
      </c>
      <c r="I89" s="189">
        <v>0</v>
      </c>
      <c r="J89" s="189">
        <v>151.00591715976333</v>
      </c>
      <c r="K89" s="189">
        <v>0</v>
      </c>
      <c r="L89" s="189">
        <v>0</v>
      </c>
      <c r="M89" s="189">
        <v>0</v>
      </c>
      <c r="N89" s="189">
        <v>0</v>
      </c>
      <c r="O89" s="189">
        <v>0</v>
      </c>
      <c r="P89" s="189">
        <v>0</v>
      </c>
      <c r="Q89" s="189">
        <v>88</v>
      </c>
      <c r="R89" s="189">
        <v>84.00000000000013</v>
      </c>
      <c r="S89" s="189">
        <v>85.0000000000001</v>
      </c>
      <c r="T89" s="189">
        <v>23.000000000000004</v>
      </c>
      <c r="U89" s="189">
        <v>4.000000000000013</v>
      </c>
      <c r="V89" s="189">
        <v>0</v>
      </c>
      <c r="W89" s="189">
        <v>0</v>
      </c>
      <c r="X89" s="189">
        <v>59.99999999999984</v>
      </c>
      <c r="Y89" s="189">
        <v>0</v>
      </c>
      <c r="Z89" s="189">
        <v>109.29786368194988</v>
      </c>
      <c r="AA89" s="189">
        <v>0</v>
      </c>
      <c r="AB89" s="189">
        <v>26.87999999999987</v>
      </c>
      <c r="AC89" s="152">
        <f t="shared" si="30"/>
        <v>0</v>
      </c>
      <c r="AD89" s="152">
        <f t="shared" si="31"/>
        <v>1109788.0199999998</v>
      </c>
      <c r="AE89" s="152">
        <f t="shared" si="32"/>
        <v>524649.04</v>
      </c>
      <c r="AF89" s="153">
        <f t="shared" si="33"/>
        <v>0</v>
      </c>
      <c r="AG89" s="153">
        <f t="shared" si="34"/>
        <v>202420.41183431956</v>
      </c>
      <c r="AH89" s="153">
        <f t="shared" si="35"/>
        <v>0</v>
      </c>
      <c r="AI89" s="153">
        <f t="shared" si="36"/>
        <v>0</v>
      </c>
      <c r="AJ89" s="153">
        <f t="shared" si="37"/>
        <v>0</v>
      </c>
      <c r="AK89" s="153">
        <f t="shared" si="38"/>
        <v>0</v>
      </c>
      <c r="AL89" s="153">
        <f t="shared" si="39"/>
        <v>0</v>
      </c>
      <c r="AM89" s="153">
        <f t="shared" si="40"/>
        <v>0</v>
      </c>
      <c r="AN89" s="153">
        <f t="shared" si="41"/>
        <v>7710.56</v>
      </c>
      <c r="AO89" s="153">
        <f t="shared" si="42"/>
        <v>14721.000000000022</v>
      </c>
      <c r="AP89" s="153">
        <f t="shared" si="43"/>
        <v>22343.950000000026</v>
      </c>
      <c r="AQ89" s="153">
        <f t="shared" si="44"/>
        <v>8061.270000000001</v>
      </c>
      <c r="AR89" s="153">
        <f t="shared" si="45"/>
        <v>1752.440000000006</v>
      </c>
      <c r="AS89" s="153">
        <f t="shared" si="46"/>
        <v>0</v>
      </c>
      <c r="AT89" s="153">
        <f t="shared" si="47"/>
        <v>0</v>
      </c>
      <c r="AU89" s="153">
        <f t="shared" si="48"/>
        <v>69491.39999999982</v>
      </c>
      <c r="AV89" s="153">
        <f t="shared" si="49"/>
        <v>0</v>
      </c>
      <c r="AW89" s="153">
        <f t="shared" si="50"/>
        <v>187555.134078226</v>
      </c>
      <c r="AX89" s="153">
        <f t="shared" si="51"/>
        <v>0</v>
      </c>
      <c r="AY89" s="153">
        <f t="shared" si="52"/>
        <v>33546.23999999984</v>
      </c>
      <c r="AZ89" s="153">
        <v>140000</v>
      </c>
      <c r="BA89" s="151">
        <v>14900</v>
      </c>
      <c r="BB89" s="151">
        <v>15864.22</v>
      </c>
      <c r="BC89" s="153"/>
      <c r="BD89" s="153"/>
      <c r="BE89" s="153"/>
      <c r="BF89" s="153">
        <f t="shared" si="53"/>
        <v>1634437.0599999998</v>
      </c>
      <c r="BG89" s="153">
        <f t="shared" si="54"/>
        <v>547602.4059125453</v>
      </c>
      <c r="BH89" s="153">
        <f t="shared" si="55"/>
        <v>170764.22</v>
      </c>
      <c r="BI89" s="153">
        <f t="shared" si="56"/>
        <v>187555.134078226</v>
      </c>
      <c r="BJ89" s="154">
        <f t="shared" si="57"/>
        <v>2352803.6859125453</v>
      </c>
      <c r="BK89" s="154">
        <v>0</v>
      </c>
      <c r="BL89" s="154">
        <v>2352804.715912545</v>
      </c>
      <c r="BM89" s="154">
        <v>2182040.4959125454</v>
      </c>
      <c r="BN89" s="154">
        <v>6198.978681569731</v>
      </c>
      <c r="BO89" s="154">
        <v>5822.729120535714</v>
      </c>
      <c r="BP89" s="155">
        <v>0.06461739044446568</v>
      </c>
      <c r="BQ89" s="155">
        <v>0</v>
      </c>
      <c r="BR89" s="154">
        <v>0</v>
      </c>
      <c r="BS89" s="156">
        <f t="shared" si="58"/>
        <v>2352803.6859125453</v>
      </c>
      <c r="BT89" s="153">
        <v>0</v>
      </c>
      <c r="BU89" s="153">
        <v>0</v>
      </c>
      <c r="BV89" s="157">
        <f t="shared" si="59"/>
        <v>2352803.6859125453</v>
      </c>
      <c r="BW89" s="80"/>
      <c r="BX89" s="208"/>
      <c r="BY89" s="103"/>
      <c r="BZ89" s="103"/>
      <c r="CA89" s="103"/>
      <c r="CB89" s="127">
        <v>48460</v>
      </c>
      <c r="CD89" s="200"/>
      <c r="CE89" s="123"/>
      <c r="CF89" s="123"/>
      <c r="CG89" s="123"/>
      <c r="CH89" s="123"/>
      <c r="CI89" s="123"/>
      <c r="CJ89" s="123"/>
      <c r="CK89" s="127"/>
    </row>
    <row r="90" spans="1:89" ht="14.25">
      <c r="A90" s="185">
        <v>3125408</v>
      </c>
      <c r="B90" s="188">
        <v>5408</v>
      </c>
      <c r="C90" s="102" t="s">
        <v>48</v>
      </c>
      <c r="D90" s="189">
        <v>1218</v>
      </c>
      <c r="E90" s="189">
        <v>0</v>
      </c>
      <c r="F90" s="189">
        <v>1218</v>
      </c>
      <c r="G90" s="189">
        <v>772</v>
      </c>
      <c r="H90" s="189">
        <v>446</v>
      </c>
      <c r="I90" s="189">
        <v>0</v>
      </c>
      <c r="J90" s="189">
        <v>319.22137404580155</v>
      </c>
      <c r="K90" s="189">
        <v>0</v>
      </c>
      <c r="L90" s="189">
        <v>0</v>
      </c>
      <c r="M90" s="189">
        <v>0</v>
      </c>
      <c r="N90" s="189">
        <v>0</v>
      </c>
      <c r="O90" s="189">
        <v>0</v>
      </c>
      <c r="P90" s="189">
        <v>0</v>
      </c>
      <c r="Q90" s="189">
        <v>227.00000000000045</v>
      </c>
      <c r="R90" s="189">
        <v>287</v>
      </c>
      <c r="S90" s="189">
        <v>214.00000000000028</v>
      </c>
      <c r="T90" s="189">
        <v>108.00000000000006</v>
      </c>
      <c r="U90" s="189">
        <v>27.000000000000043</v>
      </c>
      <c r="V90" s="189">
        <v>1.0000000000000004</v>
      </c>
      <c r="W90" s="189">
        <v>0</v>
      </c>
      <c r="X90" s="189">
        <v>27.000000000000043</v>
      </c>
      <c r="Y90" s="189">
        <v>0</v>
      </c>
      <c r="Z90" s="189">
        <v>230.7885062870958</v>
      </c>
      <c r="AA90" s="189">
        <v>0</v>
      </c>
      <c r="AB90" s="189">
        <v>0</v>
      </c>
      <c r="AC90" s="152">
        <f t="shared" si="30"/>
        <v>0</v>
      </c>
      <c r="AD90" s="152">
        <f t="shared" si="31"/>
        <v>3440788.5599999996</v>
      </c>
      <c r="AE90" s="152">
        <f t="shared" si="32"/>
        <v>2271781.2800000003</v>
      </c>
      <c r="AF90" s="153">
        <f t="shared" si="33"/>
        <v>0</v>
      </c>
      <c r="AG90" s="153">
        <f t="shared" si="34"/>
        <v>427909.8674809161</v>
      </c>
      <c r="AH90" s="153">
        <f t="shared" si="35"/>
        <v>0</v>
      </c>
      <c r="AI90" s="153">
        <f t="shared" si="36"/>
        <v>0</v>
      </c>
      <c r="AJ90" s="153">
        <f t="shared" si="37"/>
        <v>0</v>
      </c>
      <c r="AK90" s="153">
        <f t="shared" si="38"/>
        <v>0</v>
      </c>
      <c r="AL90" s="153">
        <f t="shared" si="39"/>
        <v>0</v>
      </c>
      <c r="AM90" s="153">
        <f t="shared" si="40"/>
        <v>0</v>
      </c>
      <c r="AN90" s="153">
        <f t="shared" si="41"/>
        <v>19889.74000000004</v>
      </c>
      <c r="AO90" s="153">
        <f t="shared" si="42"/>
        <v>50296.75</v>
      </c>
      <c r="AP90" s="153">
        <f t="shared" si="43"/>
        <v>56254.18000000007</v>
      </c>
      <c r="AQ90" s="153">
        <f t="shared" si="44"/>
        <v>37852.92000000002</v>
      </c>
      <c r="AR90" s="153">
        <f t="shared" si="45"/>
        <v>11828.97000000002</v>
      </c>
      <c r="AS90" s="153">
        <f t="shared" si="46"/>
        <v>525.7400000000002</v>
      </c>
      <c r="AT90" s="153">
        <f t="shared" si="47"/>
        <v>0</v>
      </c>
      <c r="AU90" s="153">
        <f t="shared" si="48"/>
        <v>31271.130000000052</v>
      </c>
      <c r="AV90" s="153">
        <f t="shared" si="49"/>
        <v>0</v>
      </c>
      <c r="AW90" s="153">
        <f t="shared" si="50"/>
        <v>396033.0767886564</v>
      </c>
      <c r="AX90" s="153">
        <f t="shared" si="51"/>
        <v>0</v>
      </c>
      <c r="AY90" s="153">
        <f t="shared" si="52"/>
        <v>0</v>
      </c>
      <c r="AZ90" s="153">
        <v>140000</v>
      </c>
      <c r="BA90" s="151">
        <v>29800</v>
      </c>
      <c r="BB90" s="151">
        <v>989.34</v>
      </c>
      <c r="BC90" s="153">
        <v>100000</v>
      </c>
      <c r="BD90" s="153"/>
      <c r="BE90" s="153"/>
      <c r="BF90" s="153">
        <f t="shared" si="53"/>
        <v>5712569.84</v>
      </c>
      <c r="BG90" s="153">
        <f t="shared" si="54"/>
        <v>1031862.3742695727</v>
      </c>
      <c r="BH90" s="153">
        <f t="shared" si="55"/>
        <v>270789.33999999997</v>
      </c>
      <c r="BI90" s="153">
        <f t="shared" si="56"/>
        <v>396033.0767886564</v>
      </c>
      <c r="BJ90" s="154">
        <f t="shared" si="57"/>
        <v>7015221.554269573</v>
      </c>
      <c r="BK90" s="154">
        <v>0</v>
      </c>
      <c r="BL90" s="154">
        <v>7015226.014269571</v>
      </c>
      <c r="BM90" s="154">
        <v>6844436.674269572</v>
      </c>
      <c r="BN90" s="154">
        <v>5619.406136510322</v>
      </c>
      <c r="BO90" s="154">
        <v>5254.727486632825</v>
      </c>
      <c r="BP90" s="155">
        <v>0.0694001070093891</v>
      </c>
      <c r="BQ90" s="155">
        <v>0</v>
      </c>
      <c r="BR90" s="154">
        <v>0</v>
      </c>
      <c r="BS90" s="156">
        <f t="shared" si="58"/>
        <v>7015221.554269573</v>
      </c>
      <c r="BT90" s="153">
        <v>0</v>
      </c>
      <c r="BU90" s="153">
        <v>0</v>
      </c>
      <c r="BV90" s="157">
        <f t="shared" si="59"/>
        <v>7015221.554269573</v>
      </c>
      <c r="BW90" s="80"/>
      <c r="BX90" s="208"/>
      <c r="BY90" s="103"/>
      <c r="BZ90" s="103"/>
      <c r="CA90" s="103"/>
      <c r="CB90" s="127">
        <v>74500</v>
      </c>
      <c r="CD90" s="200"/>
      <c r="CE90" s="123"/>
      <c r="CF90" s="123"/>
      <c r="CG90" s="123"/>
      <c r="CH90" s="123"/>
      <c r="CI90" s="123"/>
      <c r="CJ90" s="123"/>
      <c r="CK90" s="127"/>
    </row>
    <row r="91" spans="1:89" ht="14.25">
      <c r="A91" s="185">
        <v>3125409</v>
      </c>
      <c r="B91" s="188">
        <v>5409</v>
      </c>
      <c r="C91" s="102" t="s">
        <v>201</v>
      </c>
      <c r="D91" s="189">
        <v>832</v>
      </c>
      <c r="E91" s="189">
        <v>0</v>
      </c>
      <c r="F91" s="189">
        <v>832</v>
      </c>
      <c r="G91" s="189">
        <v>643</v>
      </c>
      <c r="H91" s="189">
        <v>189</v>
      </c>
      <c r="I91" s="189">
        <v>0</v>
      </c>
      <c r="J91" s="189">
        <v>348.5405405405405</v>
      </c>
      <c r="K91" s="189">
        <v>0</v>
      </c>
      <c r="L91" s="189">
        <v>0</v>
      </c>
      <c r="M91" s="189">
        <v>0</v>
      </c>
      <c r="N91" s="189">
        <v>0</v>
      </c>
      <c r="O91" s="189">
        <v>0</v>
      </c>
      <c r="P91" s="189">
        <v>0</v>
      </c>
      <c r="Q91" s="189">
        <v>212.76718938480096</v>
      </c>
      <c r="R91" s="189">
        <v>166.6007237635703</v>
      </c>
      <c r="S91" s="189">
        <v>153.5536791314839</v>
      </c>
      <c r="T91" s="189">
        <v>97.35102533172474</v>
      </c>
      <c r="U91" s="189">
        <v>21.07599517490954</v>
      </c>
      <c r="V91" s="189">
        <v>0</v>
      </c>
      <c r="W91" s="189">
        <v>0</v>
      </c>
      <c r="X91" s="189">
        <v>52</v>
      </c>
      <c r="Y91" s="189">
        <v>0</v>
      </c>
      <c r="Z91" s="189">
        <v>227.43362183449332</v>
      </c>
      <c r="AA91" s="189">
        <v>0</v>
      </c>
      <c r="AB91" s="189">
        <v>18.161829121540332</v>
      </c>
      <c r="AC91" s="152">
        <f t="shared" si="30"/>
        <v>0</v>
      </c>
      <c r="AD91" s="152">
        <f t="shared" si="31"/>
        <v>2865838.1399999997</v>
      </c>
      <c r="AE91" s="152">
        <f t="shared" si="32"/>
        <v>962705.52</v>
      </c>
      <c r="AF91" s="153">
        <f t="shared" si="33"/>
        <v>0</v>
      </c>
      <c r="AG91" s="153">
        <f t="shared" si="34"/>
        <v>467211.62378378375</v>
      </c>
      <c r="AH91" s="153">
        <f t="shared" si="35"/>
        <v>0</v>
      </c>
      <c r="AI91" s="153">
        <f t="shared" si="36"/>
        <v>0</v>
      </c>
      <c r="AJ91" s="153">
        <f t="shared" si="37"/>
        <v>0</v>
      </c>
      <c r="AK91" s="153">
        <f t="shared" si="38"/>
        <v>0</v>
      </c>
      <c r="AL91" s="153">
        <f t="shared" si="39"/>
        <v>0</v>
      </c>
      <c r="AM91" s="153">
        <f t="shared" si="40"/>
        <v>0</v>
      </c>
      <c r="AN91" s="153">
        <f t="shared" si="41"/>
        <v>18642.66113389626</v>
      </c>
      <c r="AO91" s="153">
        <f t="shared" si="42"/>
        <v>29196.776839565697</v>
      </c>
      <c r="AP91" s="153">
        <f t="shared" si="43"/>
        <v>40364.65563329317</v>
      </c>
      <c r="AQ91" s="153">
        <f t="shared" si="44"/>
        <v>34120.56086851621</v>
      </c>
      <c r="AR91" s="153">
        <f t="shared" si="45"/>
        <v>9233.604246079618</v>
      </c>
      <c r="AS91" s="153">
        <f t="shared" si="46"/>
        <v>0</v>
      </c>
      <c r="AT91" s="153">
        <f t="shared" si="47"/>
        <v>0</v>
      </c>
      <c r="AU91" s="153">
        <f t="shared" si="48"/>
        <v>60225.880000000005</v>
      </c>
      <c r="AV91" s="153">
        <f t="shared" si="49"/>
        <v>0</v>
      </c>
      <c r="AW91" s="153">
        <f t="shared" si="50"/>
        <v>390276.09506799054</v>
      </c>
      <c r="AX91" s="153">
        <f t="shared" si="51"/>
        <v>0</v>
      </c>
      <c r="AY91" s="153">
        <f t="shared" si="52"/>
        <v>22665.962743682336</v>
      </c>
      <c r="AZ91" s="153">
        <v>140000</v>
      </c>
      <c r="BA91" s="151">
        <v>69768</v>
      </c>
      <c r="BB91" s="151">
        <v>0</v>
      </c>
      <c r="BC91" s="153"/>
      <c r="BD91" s="153"/>
      <c r="BE91" s="153"/>
      <c r="BF91" s="153">
        <f t="shared" si="53"/>
        <v>3828543.6599999997</v>
      </c>
      <c r="BG91" s="153">
        <f t="shared" si="54"/>
        <v>1071937.8203168076</v>
      </c>
      <c r="BH91" s="153">
        <f t="shared" si="55"/>
        <v>209768</v>
      </c>
      <c r="BI91" s="153">
        <f t="shared" si="56"/>
        <v>390276.09506799054</v>
      </c>
      <c r="BJ91" s="154">
        <f t="shared" si="57"/>
        <v>5110249.4803168075</v>
      </c>
      <c r="BK91" s="154">
        <v>0</v>
      </c>
      <c r="BL91" s="154">
        <v>5110251.370316809</v>
      </c>
      <c r="BM91" s="154">
        <v>4900483.370316807</v>
      </c>
      <c r="BN91" s="154">
        <v>5890.0040508615475</v>
      </c>
      <c r="BO91" s="154">
        <v>5465.6185699088155</v>
      </c>
      <c r="BP91" s="155">
        <v>0.07764637717114097</v>
      </c>
      <c r="BQ91" s="155">
        <v>0</v>
      </c>
      <c r="BR91" s="154">
        <v>0</v>
      </c>
      <c r="BS91" s="156">
        <f t="shared" si="58"/>
        <v>5110249.4803168075</v>
      </c>
      <c r="BT91" s="153">
        <v>-1822.08</v>
      </c>
      <c r="BU91" s="153">
        <v>-1015.04</v>
      </c>
      <c r="BV91" s="157">
        <f t="shared" si="59"/>
        <v>5107412.360316807</v>
      </c>
      <c r="BW91" s="80"/>
      <c r="BX91" s="208"/>
      <c r="BY91" s="103"/>
      <c r="BZ91" s="103">
        <v>137040</v>
      </c>
      <c r="CA91" s="103"/>
      <c r="CB91" s="127">
        <v>135900</v>
      </c>
      <c r="CD91" s="200">
        <v>263580</v>
      </c>
      <c r="CE91" s="123">
        <v>1550</v>
      </c>
      <c r="CF91" s="123"/>
      <c r="CG91" s="123"/>
      <c r="CH91" s="123"/>
      <c r="CI91" s="123">
        <v>14418</v>
      </c>
      <c r="CJ91" s="123">
        <v>92183</v>
      </c>
      <c r="CK91" s="127">
        <v>267319</v>
      </c>
    </row>
    <row r="92" spans="1:89" ht="14.25">
      <c r="A92" s="185">
        <v>3125410</v>
      </c>
      <c r="B92" s="188">
        <v>5410</v>
      </c>
      <c r="C92" s="102" t="s">
        <v>184</v>
      </c>
      <c r="D92" s="189">
        <v>1010</v>
      </c>
      <c r="E92" s="189">
        <v>0</v>
      </c>
      <c r="F92" s="189">
        <v>1010</v>
      </c>
      <c r="G92" s="189">
        <v>655</v>
      </c>
      <c r="H92" s="189">
        <v>355</v>
      </c>
      <c r="I92" s="189">
        <v>0</v>
      </c>
      <c r="J92" s="189">
        <v>326.95512820512823</v>
      </c>
      <c r="K92" s="189">
        <v>0</v>
      </c>
      <c r="L92" s="189">
        <v>0</v>
      </c>
      <c r="M92" s="189">
        <v>0</v>
      </c>
      <c r="N92" s="189">
        <v>0</v>
      </c>
      <c r="O92" s="189">
        <v>0</v>
      </c>
      <c r="P92" s="189">
        <v>0</v>
      </c>
      <c r="Q92" s="189">
        <v>280.2775024777009</v>
      </c>
      <c r="R92" s="189">
        <v>202.200198216056</v>
      </c>
      <c r="S92" s="189">
        <v>166.16451932606512</v>
      </c>
      <c r="T92" s="189">
        <v>72.07135777998019</v>
      </c>
      <c r="U92" s="189">
        <v>13.01288404360752</v>
      </c>
      <c r="V92" s="189">
        <v>0</v>
      </c>
      <c r="W92" s="189">
        <v>0</v>
      </c>
      <c r="X92" s="189">
        <v>21.000000000000007</v>
      </c>
      <c r="Y92" s="189">
        <v>0</v>
      </c>
      <c r="Z92" s="189">
        <v>178.56925314146753</v>
      </c>
      <c r="AA92" s="189">
        <v>0</v>
      </c>
      <c r="AB92" s="189">
        <v>0</v>
      </c>
      <c r="AC92" s="152">
        <f t="shared" si="30"/>
        <v>0</v>
      </c>
      <c r="AD92" s="152">
        <f t="shared" si="31"/>
        <v>2919321.9</v>
      </c>
      <c r="AE92" s="152">
        <f t="shared" si="32"/>
        <v>1808256.4000000001</v>
      </c>
      <c r="AF92" s="153">
        <f t="shared" si="33"/>
        <v>0</v>
      </c>
      <c r="AG92" s="153">
        <f t="shared" si="34"/>
        <v>438276.8102564103</v>
      </c>
      <c r="AH92" s="153">
        <f t="shared" si="35"/>
        <v>0</v>
      </c>
      <c r="AI92" s="153">
        <f t="shared" si="36"/>
        <v>0</v>
      </c>
      <c r="AJ92" s="153">
        <f t="shared" si="37"/>
        <v>0</v>
      </c>
      <c r="AK92" s="153">
        <f t="shared" si="38"/>
        <v>0</v>
      </c>
      <c r="AL92" s="153">
        <f t="shared" si="39"/>
        <v>0</v>
      </c>
      <c r="AM92" s="153">
        <f t="shared" si="40"/>
        <v>0</v>
      </c>
      <c r="AN92" s="153">
        <f t="shared" si="41"/>
        <v>24557.914767096157</v>
      </c>
      <c r="AO92" s="153">
        <f t="shared" si="42"/>
        <v>35435.58473736382</v>
      </c>
      <c r="AP92" s="153">
        <f t="shared" si="43"/>
        <v>43679.667195242735</v>
      </c>
      <c r="AQ92" s="153">
        <f t="shared" si="44"/>
        <v>25260.29018830526</v>
      </c>
      <c r="AR92" s="153">
        <f t="shared" si="45"/>
        <v>5701.074628344891</v>
      </c>
      <c r="AS92" s="153">
        <f t="shared" si="46"/>
        <v>0</v>
      </c>
      <c r="AT92" s="153">
        <f t="shared" si="47"/>
        <v>0</v>
      </c>
      <c r="AU92" s="153">
        <f t="shared" si="48"/>
        <v>24321.99000000001</v>
      </c>
      <c r="AV92" s="153">
        <f t="shared" si="49"/>
        <v>0</v>
      </c>
      <c r="AW92" s="153">
        <f t="shared" si="50"/>
        <v>306424.83839075826</v>
      </c>
      <c r="AX92" s="153">
        <f t="shared" si="51"/>
        <v>0</v>
      </c>
      <c r="AY92" s="153">
        <f t="shared" si="52"/>
        <v>0</v>
      </c>
      <c r="AZ92" s="153">
        <v>140000</v>
      </c>
      <c r="BA92" s="151">
        <v>47750</v>
      </c>
      <c r="BB92" s="151">
        <v>2292</v>
      </c>
      <c r="BC92" s="153"/>
      <c r="BD92" s="153"/>
      <c r="BE92" s="153"/>
      <c r="BF92" s="153">
        <f t="shared" si="53"/>
        <v>4727578.3</v>
      </c>
      <c r="BG92" s="153">
        <f t="shared" si="54"/>
        <v>903658.1701635214</v>
      </c>
      <c r="BH92" s="153">
        <f t="shared" si="55"/>
        <v>190042</v>
      </c>
      <c r="BI92" s="153">
        <f t="shared" si="56"/>
        <v>306424.83839075826</v>
      </c>
      <c r="BJ92" s="154">
        <f t="shared" si="57"/>
        <v>5821278.470163521</v>
      </c>
      <c r="BK92" s="154">
        <v>0</v>
      </c>
      <c r="BL92" s="154">
        <v>5821282.020163521</v>
      </c>
      <c r="BM92" s="154">
        <v>5631240.020163521</v>
      </c>
      <c r="BN92" s="154">
        <v>5575.485168478734</v>
      </c>
      <c r="BO92" s="154">
        <v>5208.922156415695</v>
      </c>
      <c r="BP92" s="155">
        <v>0.07037214246167076</v>
      </c>
      <c r="BQ92" s="155">
        <v>0</v>
      </c>
      <c r="BR92" s="154">
        <v>0</v>
      </c>
      <c r="BS92" s="156">
        <f t="shared" si="58"/>
        <v>5821278.470163521</v>
      </c>
      <c r="BT92" s="153">
        <v>0</v>
      </c>
      <c r="BU92" s="153">
        <v>0</v>
      </c>
      <c r="BV92" s="157">
        <f t="shared" si="59"/>
        <v>5821278.470163521</v>
      </c>
      <c r="BW92" s="80"/>
      <c r="BX92" s="208"/>
      <c r="BY92" s="103"/>
      <c r="BZ92" s="103"/>
      <c r="CA92" s="103"/>
      <c r="CB92" s="127">
        <v>104919</v>
      </c>
      <c r="CD92" s="200"/>
      <c r="CE92" s="123"/>
      <c r="CF92" s="123"/>
      <c r="CG92" s="123"/>
      <c r="CH92" s="123"/>
      <c r="CI92" s="123"/>
      <c r="CJ92" s="123"/>
      <c r="CK92" s="127"/>
    </row>
    <row r="93" spans="1:89" ht="14.25">
      <c r="A93" s="185">
        <v>3125411</v>
      </c>
      <c r="B93" s="188">
        <v>5411</v>
      </c>
      <c r="C93" s="102" t="s">
        <v>126</v>
      </c>
      <c r="D93" s="189">
        <v>1002</v>
      </c>
      <c r="E93" s="189">
        <v>0</v>
      </c>
      <c r="F93" s="189">
        <v>1002</v>
      </c>
      <c r="G93" s="189">
        <v>597</v>
      </c>
      <c r="H93" s="189">
        <v>405</v>
      </c>
      <c r="I93" s="189">
        <v>0</v>
      </c>
      <c r="J93" s="189">
        <v>418.8688524590164</v>
      </c>
      <c r="K93" s="189">
        <v>0</v>
      </c>
      <c r="L93" s="189">
        <v>0</v>
      </c>
      <c r="M93" s="189">
        <v>0</v>
      </c>
      <c r="N93" s="189">
        <v>0</v>
      </c>
      <c r="O93" s="189">
        <v>0</v>
      </c>
      <c r="P93" s="189">
        <v>0</v>
      </c>
      <c r="Q93" s="189">
        <v>353.3526473526477</v>
      </c>
      <c r="R93" s="189">
        <v>191.1908091908094</v>
      </c>
      <c r="S93" s="189">
        <v>148.1478521478523</v>
      </c>
      <c r="T93" s="189">
        <v>129.12887112887125</v>
      </c>
      <c r="U93" s="189">
        <v>6.005994005994002</v>
      </c>
      <c r="V93" s="189">
        <v>0</v>
      </c>
      <c r="W93" s="189">
        <v>0</v>
      </c>
      <c r="X93" s="189">
        <v>123.12287712287726</v>
      </c>
      <c r="Y93" s="189">
        <v>0</v>
      </c>
      <c r="Z93" s="189">
        <v>323.4482625119195</v>
      </c>
      <c r="AA93" s="189">
        <v>0</v>
      </c>
      <c r="AB93" s="189">
        <v>12.88000000000004</v>
      </c>
      <c r="AC93" s="152">
        <f t="shared" si="30"/>
        <v>0</v>
      </c>
      <c r="AD93" s="152">
        <f t="shared" si="31"/>
        <v>2660817.0599999996</v>
      </c>
      <c r="AE93" s="152">
        <f t="shared" si="32"/>
        <v>2062940.4000000001</v>
      </c>
      <c r="AF93" s="153">
        <f t="shared" si="33"/>
        <v>0</v>
      </c>
      <c r="AG93" s="153">
        <f t="shared" si="34"/>
        <v>561485.3193442624</v>
      </c>
      <c r="AH93" s="153">
        <f t="shared" si="35"/>
        <v>0</v>
      </c>
      <c r="AI93" s="153">
        <f t="shared" si="36"/>
        <v>0</v>
      </c>
      <c r="AJ93" s="153">
        <f t="shared" si="37"/>
        <v>0</v>
      </c>
      <c r="AK93" s="153">
        <f t="shared" si="38"/>
        <v>0</v>
      </c>
      <c r="AL93" s="153">
        <f t="shared" si="39"/>
        <v>0</v>
      </c>
      <c r="AM93" s="153">
        <f t="shared" si="40"/>
        <v>0</v>
      </c>
      <c r="AN93" s="153">
        <f t="shared" si="41"/>
        <v>30960.75896103899</v>
      </c>
      <c r="AO93" s="153">
        <f t="shared" si="42"/>
        <v>33506.18931068935</v>
      </c>
      <c r="AP93" s="153">
        <f t="shared" si="43"/>
        <v>38943.625894105935</v>
      </c>
      <c r="AQ93" s="153">
        <f t="shared" si="44"/>
        <v>45258.37804195809</v>
      </c>
      <c r="AR93" s="153">
        <f t="shared" si="45"/>
        <v>2631.2860339660324</v>
      </c>
      <c r="AS93" s="153">
        <f t="shared" si="46"/>
        <v>0</v>
      </c>
      <c r="AT93" s="153">
        <f t="shared" si="47"/>
        <v>0</v>
      </c>
      <c r="AU93" s="153">
        <f t="shared" si="48"/>
        <v>142599.6850549452</v>
      </c>
      <c r="AV93" s="153">
        <f t="shared" si="49"/>
        <v>0</v>
      </c>
      <c r="AW93" s="153">
        <f t="shared" si="50"/>
        <v>555037.2184704539</v>
      </c>
      <c r="AX93" s="153">
        <f t="shared" si="51"/>
        <v>0</v>
      </c>
      <c r="AY93" s="153">
        <f t="shared" si="52"/>
        <v>16074.240000000049</v>
      </c>
      <c r="AZ93" s="153">
        <v>140000</v>
      </c>
      <c r="BA93" s="151">
        <v>34250</v>
      </c>
      <c r="BB93" s="151">
        <v>5628.38</v>
      </c>
      <c r="BC93" s="153"/>
      <c r="BD93" s="153"/>
      <c r="BE93" s="153"/>
      <c r="BF93" s="153">
        <f t="shared" si="53"/>
        <v>4723757.46</v>
      </c>
      <c r="BG93" s="153">
        <f t="shared" si="54"/>
        <v>1426496.7011114198</v>
      </c>
      <c r="BH93" s="153">
        <f t="shared" si="55"/>
        <v>179878.38</v>
      </c>
      <c r="BI93" s="153">
        <f t="shared" si="56"/>
        <v>555037.2184704539</v>
      </c>
      <c r="BJ93" s="154">
        <f t="shared" si="57"/>
        <v>6330132.54111142</v>
      </c>
      <c r="BK93" s="154">
        <v>0</v>
      </c>
      <c r="BL93" s="154">
        <v>6330136.59111142</v>
      </c>
      <c r="BM93" s="154">
        <v>6150258.21111142</v>
      </c>
      <c r="BN93" s="154">
        <v>6137.982246618183</v>
      </c>
      <c r="BO93" s="154">
        <v>5874.175211054767</v>
      </c>
      <c r="BP93" s="155">
        <v>0.044909630047627935</v>
      </c>
      <c r="BQ93" s="155">
        <v>0</v>
      </c>
      <c r="BR93" s="154">
        <v>0</v>
      </c>
      <c r="BS93" s="156">
        <f t="shared" si="58"/>
        <v>6330132.54111142</v>
      </c>
      <c r="BT93" s="153">
        <v>-2194.38</v>
      </c>
      <c r="BU93" s="153">
        <v>-1222.44</v>
      </c>
      <c r="BV93" s="157">
        <f t="shared" si="59"/>
        <v>6326715.72111142</v>
      </c>
      <c r="BW93" s="80"/>
      <c r="BX93" s="208"/>
      <c r="BY93" s="103"/>
      <c r="BZ93" s="103"/>
      <c r="CA93" s="103"/>
      <c r="CB93" s="127">
        <v>104100</v>
      </c>
      <c r="CD93" s="200">
        <v>389640</v>
      </c>
      <c r="CE93" s="123"/>
      <c r="CF93" s="123"/>
      <c r="CG93" s="123"/>
      <c r="CH93" s="123"/>
      <c r="CI93" s="123">
        <v>24751</v>
      </c>
      <c r="CJ93" s="123">
        <v>293609</v>
      </c>
      <c r="CK93" s="127">
        <v>705928</v>
      </c>
    </row>
    <row r="94" spans="1:89" ht="14.25">
      <c r="A94" s="185">
        <v>3125412</v>
      </c>
      <c r="B94" s="188">
        <v>5412</v>
      </c>
      <c r="C94" s="102" t="s">
        <v>49</v>
      </c>
      <c r="D94" s="189">
        <v>1193</v>
      </c>
      <c r="E94" s="189">
        <v>0</v>
      </c>
      <c r="F94" s="189">
        <v>1193</v>
      </c>
      <c r="G94" s="189">
        <v>719</v>
      </c>
      <c r="H94" s="189">
        <v>474</v>
      </c>
      <c r="I94" s="189">
        <v>0</v>
      </c>
      <c r="J94" s="189">
        <v>526</v>
      </c>
      <c r="K94" s="189">
        <v>0</v>
      </c>
      <c r="L94" s="189">
        <v>0</v>
      </c>
      <c r="M94" s="189">
        <v>0</v>
      </c>
      <c r="N94" s="189">
        <v>0</v>
      </c>
      <c r="O94" s="189">
        <v>0</v>
      </c>
      <c r="P94" s="189">
        <v>0</v>
      </c>
      <c r="Q94" s="189">
        <v>275.0000000000004</v>
      </c>
      <c r="R94" s="189">
        <v>256.0000000000001</v>
      </c>
      <c r="S94" s="189">
        <v>249.00000000000028</v>
      </c>
      <c r="T94" s="189">
        <v>186.00000000000048</v>
      </c>
      <c r="U94" s="189">
        <v>53.999999999999964</v>
      </c>
      <c r="V94" s="189">
        <v>0</v>
      </c>
      <c r="W94" s="189">
        <v>0</v>
      </c>
      <c r="X94" s="189">
        <v>92.54300168634065</v>
      </c>
      <c r="Y94" s="189">
        <v>0</v>
      </c>
      <c r="Z94" s="189">
        <v>260.85265891996926</v>
      </c>
      <c r="AA94" s="189">
        <v>0</v>
      </c>
      <c r="AB94" s="189">
        <v>3.6090756302520846</v>
      </c>
      <c r="AC94" s="152">
        <f t="shared" si="30"/>
        <v>0</v>
      </c>
      <c r="AD94" s="152">
        <f t="shared" si="31"/>
        <v>3204568.6199999996</v>
      </c>
      <c r="AE94" s="152">
        <f t="shared" si="32"/>
        <v>2414404.3200000003</v>
      </c>
      <c r="AF94" s="153">
        <f t="shared" si="33"/>
        <v>0</v>
      </c>
      <c r="AG94" s="153">
        <f t="shared" si="34"/>
        <v>705092.48</v>
      </c>
      <c r="AH94" s="153">
        <f t="shared" si="35"/>
        <v>0</v>
      </c>
      <c r="AI94" s="153">
        <f t="shared" si="36"/>
        <v>0</v>
      </c>
      <c r="AJ94" s="153">
        <f t="shared" si="37"/>
        <v>0</v>
      </c>
      <c r="AK94" s="153">
        <f t="shared" si="38"/>
        <v>0</v>
      </c>
      <c r="AL94" s="153">
        <f t="shared" si="39"/>
        <v>0</v>
      </c>
      <c r="AM94" s="153">
        <f t="shared" si="40"/>
        <v>0</v>
      </c>
      <c r="AN94" s="153">
        <f t="shared" si="41"/>
        <v>24095.500000000036</v>
      </c>
      <c r="AO94" s="153">
        <f t="shared" si="42"/>
        <v>44864.00000000002</v>
      </c>
      <c r="AP94" s="153">
        <f t="shared" si="43"/>
        <v>65454.63000000008</v>
      </c>
      <c r="AQ94" s="153">
        <f t="shared" si="44"/>
        <v>65191.140000000174</v>
      </c>
      <c r="AR94" s="153">
        <f t="shared" si="45"/>
        <v>23657.939999999984</v>
      </c>
      <c r="AS94" s="153">
        <f t="shared" si="46"/>
        <v>0</v>
      </c>
      <c r="AT94" s="153">
        <f t="shared" si="47"/>
        <v>0</v>
      </c>
      <c r="AU94" s="153">
        <f t="shared" si="48"/>
        <v>107182.37912310287</v>
      </c>
      <c r="AV94" s="153">
        <f t="shared" si="49"/>
        <v>0</v>
      </c>
      <c r="AW94" s="153">
        <f t="shared" si="50"/>
        <v>447623.16270666727</v>
      </c>
      <c r="AX94" s="153">
        <f t="shared" si="51"/>
        <v>0</v>
      </c>
      <c r="AY94" s="153">
        <f t="shared" si="52"/>
        <v>4504.126386554602</v>
      </c>
      <c r="AZ94" s="153">
        <v>140000</v>
      </c>
      <c r="BA94" s="151">
        <v>49250</v>
      </c>
      <c r="BB94" s="151">
        <v>9531.65</v>
      </c>
      <c r="BC94" s="153"/>
      <c r="BD94" s="153">
        <v>915640</v>
      </c>
      <c r="BE94" s="153"/>
      <c r="BF94" s="153">
        <f t="shared" si="53"/>
        <v>5618972.9399999995</v>
      </c>
      <c r="BG94" s="153">
        <f t="shared" si="54"/>
        <v>1487665.358216325</v>
      </c>
      <c r="BH94" s="153">
        <f t="shared" si="55"/>
        <v>1114421.65</v>
      </c>
      <c r="BI94" s="153">
        <f t="shared" si="56"/>
        <v>447623.16270666727</v>
      </c>
      <c r="BJ94" s="154">
        <f t="shared" si="57"/>
        <v>8221059.948216325</v>
      </c>
      <c r="BK94" s="154">
        <v>0</v>
      </c>
      <c r="BL94" s="154">
        <v>8221064.688216327</v>
      </c>
      <c r="BM94" s="154">
        <v>8022283.0382163245</v>
      </c>
      <c r="BN94" s="154">
        <v>6724.4618928887885</v>
      </c>
      <c r="BO94" s="154">
        <v>6312.463954251701</v>
      </c>
      <c r="BP94" s="155">
        <v>0.06526737287103089</v>
      </c>
      <c r="BQ94" s="155">
        <v>0</v>
      </c>
      <c r="BR94" s="154">
        <v>0</v>
      </c>
      <c r="BS94" s="156">
        <f t="shared" si="58"/>
        <v>8221059.948216325</v>
      </c>
      <c r="BT94" s="153">
        <v>0</v>
      </c>
      <c r="BU94" s="153">
        <v>0</v>
      </c>
      <c r="BV94" s="157">
        <f t="shared" si="59"/>
        <v>8221059.948216325</v>
      </c>
      <c r="BW94" s="80"/>
      <c r="BX94" s="208"/>
      <c r="BY94" s="103"/>
      <c r="BZ94" s="103"/>
      <c r="CA94" s="103"/>
      <c r="CB94" s="127">
        <v>77100</v>
      </c>
      <c r="CD94" s="200"/>
      <c r="CE94" s="123"/>
      <c r="CF94" s="123"/>
      <c r="CG94" s="123"/>
      <c r="CH94" s="123"/>
      <c r="CI94" s="123"/>
      <c r="CJ94" s="123"/>
      <c r="CK94" s="127"/>
    </row>
    <row r="95" spans="1:89" ht="15" thickBot="1">
      <c r="A95" s="185">
        <v>3126906</v>
      </c>
      <c r="B95" s="191">
        <v>6906</v>
      </c>
      <c r="C95" s="192" t="s">
        <v>130</v>
      </c>
      <c r="D95" s="193">
        <v>348</v>
      </c>
      <c r="E95" s="193">
        <v>0</v>
      </c>
      <c r="F95" s="193">
        <v>348</v>
      </c>
      <c r="G95" s="193">
        <v>199</v>
      </c>
      <c r="H95" s="193">
        <v>149</v>
      </c>
      <c r="I95" s="193">
        <v>0</v>
      </c>
      <c r="J95" s="193">
        <v>101.78999999999999</v>
      </c>
      <c r="K95" s="193">
        <v>0</v>
      </c>
      <c r="L95" s="193">
        <v>0</v>
      </c>
      <c r="M95" s="193">
        <v>0</v>
      </c>
      <c r="N95" s="193">
        <v>0</v>
      </c>
      <c r="O95" s="193">
        <v>0</v>
      </c>
      <c r="P95" s="193">
        <v>0</v>
      </c>
      <c r="Q95" s="193">
        <v>135.99999999999986</v>
      </c>
      <c r="R95" s="193">
        <v>52.00000000000005</v>
      </c>
      <c r="S95" s="193">
        <v>16.00000000000001</v>
      </c>
      <c r="T95" s="193">
        <v>8.999999999999986</v>
      </c>
      <c r="U95" s="193">
        <v>0.9999999999999983</v>
      </c>
      <c r="V95" s="193">
        <v>0</v>
      </c>
      <c r="W95" s="193">
        <v>0</v>
      </c>
      <c r="X95" s="193">
        <v>16.00000000000001</v>
      </c>
      <c r="Y95" s="193">
        <v>0</v>
      </c>
      <c r="Z95" s="193">
        <v>87.07280426086054</v>
      </c>
      <c r="AA95" s="193">
        <v>0</v>
      </c>
      <c r="AB95" s="193">
        <v>1.119999999999998</v>
      </c>
      <c r="AC95" s="158">
        <f t="shared" si="30"/>
        <v>0</v>
      </c>
      <c r="AD95" s="158">
        <f t="shared" si="31"/>
        <v>886939.0199999999</v>
      </c>
      <c r="AE95" s="158">
        <f t="shared" si="32"/>
        <v>758958.3200000001</v>
      </c>
      <c r="AF95" s="159">
        <f t="shared" si="33"/>
        <v>0</v>
      </c>
      <c r="AG95" s="159">
        <f t="shared" si="34"/>
        <v>136447.45919999998</v>
      </c>
      <c r="AH95" s="159">
        <f t="shared" si="35"/>
        <v>0</v>
      </c>
      <c r="AI95" s="159">
        <f t="shared" si="36"/>
        <v>0</v>
      </c>
      <c r="AJ95" s="159">
        <f t="shared" si="37"/>
        <v>0</v>
      </c>
      <c r="AK95" s="159">
        <f t="shared" si="38"/>
        <v>0</v>
      </c>
      <c r="AL95" s="159">
        <f t="shared" si="39"/>
        <v>0</v>
      </c>
      <c r="AM95" s="159">
        <f t="shared" si="40"/>
        <v>0</v>
      </c>
      <c r="AN95" s="159">
        <f t="shared" si="41"/>
        <v>11916.319999999989</v>
      </c>
      <c r="AO95" s="159">
        <f t="shared" si="42"/>
        <v>9113.00000000001</v>
      </c>
      <c r="AP95" s="159">
        <f t="shared" si="43"/>
        <v>4205.920000000003</v>
      </c>
      <c r="AQ95" s="159">
        <f t="shared" si="44"/>
        <v>3154.4099999999953</v>
      </c>
      <c r="AR95" s="159">
        <f t="shared" si="45"/>
        <v>438.1099999999993</v>
      </c>
      <c r="AS95" s="159">
        <f t="shared" si="46"/>
        <v>0</v>
      </c>
      <c r="AT95" s="159">
        <f t="shared" si="47"/>
        <v>0</v>
      </c>
      <c r="AU95" s="159">
        <f t="shared" si="48"/>
        <v>18531.04000000001</v>
      </c>
      <c r="AV95" s="159">
        <f t="shared" si="49"/>
        <v>0</v>
      </c>
      <c r="AW95" s="159">
        <f t="shared" si="50"/>
        <v>149416.93211163668</v>
      </c>
      <c r="AX95" s="159">
        <f t="shared" si="51"/>
        <v>0</v>
      </c>
      <c r="AY95" s="159">
        <f t="shared" si="52"/>
        <v>1397.7599999999977</v>
      </c>
      <c r="AZ95" s="159">
        <v>140000</v>
      </c>
      <c r="BA95" s="180">
        <v>41750</v>
      </c>
      <c r="BB95" s="180">
        <v>21462.8</v>
      </c>
      <c r="BC95" s="159"/>
      <c r="BD95" s="159"/>
      <c r="BE95" s="159"/>
      <c r="BF95" s="159">
        <f t="shared" si="53"/>
        <v>1645897.3399999999</v>
      </c>
      <c r="BG95" s="159">
        <f t="shared" si="54"/>
        <v>334620.95131163666</v>
      </c>
      <c r="BH95" s="159">
        <f t="shared" si="55"/>
        <v>203212.8</v>
      </c>
      <c r="BI95" s="159">
        <f t="shared" si="56"/>
        <v>149416.93211163668</v>
      </c>
      <c r="BJ95" s="160">
        <f t="shared" si="57"/>
        <v>2183731.0913116364</v>
      </c>
      <c r="BK95" s="160">
        <v>0</v>
      </c>
      <c r="BL95" s="160">
        <v>2183732.5813116366</v>
      </c>
      <c r="BM95" s="160">
        <v>1980519.7813116366</v>
      </c>
      <c r="BN95" s="160">
        <v>5691.148796872519</v>
      </c>
      <c r="BO95" s="160">
        <v>5238.647979411765</v>
      </c>
      <c r="BP95" s="161">
        <v>0.08637740486459713</v>
      </c>
      <c r="BQ95" s="161">
        <v>0</v>
      </c>
      <c r="BR95" s="160">
        <v>0</v>
      </c>
      <c r="BS95" s="162">
        <f t="shared" si="58"/>
        <v>2183731.0913116364</v>
      </c>
      <c r="BT95" s="159">
        <v>0</v>
      </c>
      <c r="BU95" s="159">
        <v>0</v>
      </c>
      <c r="BV95" s="163">
        <f t="shared" si="59"/>
        <v>2183731.0913116364</v>
      </c>
      <c r="BW95" s="80"/>
      <c r="BX95" s="209"/>
      <c r="BY95" s="128"/>
      <c r="BZ95" s="128"/>
      <c r="CA95" s="128"/>
      <c r="CB95" s="129">
        <v>51378</v>
      </c>
      <c r="CD95" s="201"/>
      <c r="CE95" s="132"/>
      <c r="CF95" s="132"/>
      <c r="CG95" s="132"/>
      <c r="CH95" s="132"/>
      <c r="CI95" s="132"/>
      <c r="CJ95" s="132"/>
      <c r="CK95" s="129"/>
    </row>
    <row r="96" spans="9:89" ht="13.5" thickBot="1">
      <c r="I96" s="194"/>
      <c r="BK96" s="165"/>
      <c r="BL96" s="165"/>
      <c r="BM96" s="165"/>
      <c r="BN96" s="165"/>
      <c r="BO96" s="165"/>
      <c r="BQ96" s="165"/>
      <c r="BR96" s="165"/>
      <c r="BS96" s="168"/>
      <c r="BT96" s="165"/>
      <c r="BU96" s="165"/>
      <c r="BV96" s="169"/>
      <c r="CD96" s="80"/>
      <c r="CE96" s="80"/>
      <c r="CF96" s="80"/>
      <c r="CG96" s="80"/>
      <c r="CH96" s="80"/>
      <c r="CI96" s="80"/>
      <c r="CJ96" s="80"/>
      <c r="CK96" s="80"/>
    </row>
    <row r="97" spans="4:89" s="213" customFormat="1" ht="13.5" thickBot="1">
      <c r="D97" s="214">
        <f aca="true" t="shared" si="60" ref="D97:BM97">SUM(D5:D95)</f>
        <v>45128</v>
      </c>
      <c r="E97" s="215">
        <f t="shared" si="60"/>
        <v>28066</v>
      </c>
      <c r="F97" s="215">
        <f t="shared" si="60"/>
        <v>17062</v>
      </c>
      <c r="G97" s="215">
        <f t="shared" si="60"/>
        <v>10492</v>
      </c>
      <c r="H97" s="215">
        <f t="shared" si="60"/>
        <v>6570</v>
      </c>
      <c r="I97" s="215">
        <f t="shared" si="60"/>
        <v>5547.287061148635</v>
      </c>
      <c r="J97" s="215">
        <f t="shared" si="60"/>
        <v>5096.5817579616305</v>
      </c>
      <c r="K97" s="215">
        <f t="shared" si="60"/>
        <v>5523.453147616314</v>
      </c>
      <c r="L97" s="215">
        <f t="shared" si="60"/>
        <v>5428.042832370687</v>
      </c>
      <c r="M97" s="215">
        <f t="shared" si="60"/>
        <v>3633.5630076967786</v>
      </c>
      <c r="N97" s="215">
        <f t="shared" si="60"/>
        <v>1789.9123045092274</v>
      </c>
      <c r="O97" s="215">
        <f t="shared" si="60"/>
        <v>385.44527679357316</v>
      </c>
      <c r="P97" s="215">
        <f t="shared" si="60"/>
        <v>2.0000000000000018</v>
      </c>
      <c r="Q97" s="215">
        <f t="shared" si="60"/>
        <v>3446.159003303101</v>
      </c>
      <c r="R97" s="215">
        <f t="shared" si="60"/>
        <v>3099.986317560334</v>
      </c>
      <c r="S97" s="215">
        <f t="shared" si="60"/>
        <v>2257.902215713874</v>
      </c>
      <c r="T97" s="215">
        <f t="shared" si="60"/>
        <v>1060.8844023066338</v>
      </c>
      <c r="U97" s="215">
        <f t="shared" si="60"/>
        <v>326.3745746080574</v>
      </c>
      <c r="V97" s="215">
        <f t="shared" si="60"/>
        <v>8.015946684894057</v>
      </c>
      <c r="W97" s="215">
        <f t="shared" si="60"/>
        <v>8099.6795973023545</v>
      </c>
      <c r="X97" s="215">
        <f t="shared" si="60"/>
        <v>848.469108356745</v>
      </c>
      <c r="Y97" s="215">
        <f t="shared" si="60"/>
        <v>8646.561972089552</v>
      </c>
      <c r="Z97" s="215">
        <f t="shared" si="60"/>
        <v>3626.66085425607</v>
      </c>
      <c r="AA97" s="215">
        <f t="shared" si="60"/>
        <v>378.5666899864578</v>
      </c>
      <c r="AB97" s="215">
        <f t="shared" si="60"/>
        <v>74.57090475179233</v>
      </c>
      <c r="AC97" s="215">
        <f>SUM(AC5:AC95)</f>
        <v>96470700.48000002</v>
      </c>
      <c r="AD97" s="215">
        <f t="shared" si="60"/>
        <v>46762634.16</v>
      </c>
      <c r="AE97" s="215">
        <f t="shared" si="60"/>
        <v>33465477.599999998</v>
      </c>
      <c r="AF97" s="215">
        <f t="shared" si="60"/>
        <v>5720029.580232805</v>
      </c>
      <c r="AG97" s="215">
        <f t="shared" si="60"/>
        <v>6831865.914912408</v>
      </c>
      <c r="AH97" s="215">
        <f t="shared" si="60"/>
        <v>372280.7421493396</v>
      </c>
      <c r="AI97" s="215">
        <f t="shared" si="60"/>
        <v>731700.1738035688</v>
      </c>
      <c r="AJ97" s="215">
        <f t="shared" si="60"/>
        <v>734742.7757863656</v>
      </c>
      <c r="AK97" s="215">
        <f t="shared" si="60"/>
        <v>482578.25641873287</v>
      </c>
      <c r="AL97" s="215">
        <f t="shared" si="60"/>
        <v>129898.91273220206</v>
      </c>
      <c r="AM97" s="215">
        <f t="shared" si="60"/>
        <v>808.8200000000008</v>
      </c>
      <c r="AN97" s="215">
        <f t="shared" si="60"/>
        <v>301952.4518694178</v>
      </c>
      <c r="AO97" s="215">
        <f t="shared" si="60"/>
        <v>543272.6021524485</v>
      </c>
      <c r="AP97" s="215">
        <f t="shared" si="60"/>
        <v>593534.7554447061</v>
      </c>
      <c r="AQ97" s="215">
        <f t="shared" si="60"/>
        <v>371829.3741644521</v>
      </c>
      <c r="AR97" s="215">
        <f t="shared" si="60"/>
        <v>142987.96488153603</v>
      </c>
      <c r="AS97" s="215">
        <f t="shared" si="60"/>
        <v>4214.303810116201</v>
      </c>
      <c r="AT97" s="215">
        <f t="shared" si="60"/>
        <v>6225737.72567048</v>
      </c>
      <c r="AU97" s="215">
        <f t="shared" si="60"/>
        <v>982688.4366076983</v>
      </c>
      <c r="AV97" s="215">
        <f t="shared" si="60"/>
        <v>5305530.426074151</v>
      </c>
      <c r="AW97" s="215">
        <f t="shared" si="60"/>
        <v>6223350.025903418</v>
      </c>
      <c r="AX97" s="215">
        <f t="shared" si="60"/>
        <v>314967.48606873304</v>
      </c>
      <c r="AY97" s="215">
        <f t="shared" si="60"/>
        <v>93064.48913023682</v>
      </c>
      <c r="AZ97" s="215">
        <f t="shared" si="60"/>
        <v>12740000</v>
      </c>
      <c r="BA97" s="215">
        <f t="shared" si="60"/>
        <v>2379461</v>
      </c>
      <c r="BB97" s="215">
        <f t="shared" si="60"/>
        <v>165769.65999999997</v>
      </c>
      <c r="BC97" s="215">
        <f t="shared" si="60"/>
        <v>100000</v>
      </c>
      <c r="BD97" s="215">
        <f t="shared" si="60"/>
        <v>915640</v>
      </c>
      <c r="BE97" s="215">
        <f t="shared" si="60"/>
        <v>16929.160000000003</v>
      </c>
      <c r="BF97" s="215">
        <f t="shared" si="60"/>
        <v>176698812.24000004</v>
      </c>
      <c r="BG97" s="215">
        <f t="shared" si="60"/>
        <v>36107035.217812814</v>
      </c>
      <c r="BH97" s="215">
        <f t="shared" si="60"/>
        <v>16317799.819999998</v>
      </c>
      <c r="BI97" s="215">
        <f t="shared" si="60"/>
        <v>11528880.451977568</v>
      </c>
      <c r="BJ97" s="215">
        <f t="shared" si="60"/>
        <v>229123647.27781287</v>
      </c>
      <c r="BK97" s="215">
        <f t="shared" si="60"/>
        <v>127912106.1391722</v>
      </c>
      <c r="BL97" s="215">
        <f t="shared" si="60"/>
        <v>101211606.83864063</v>
      </c>
      <c r="BM97" s="215">
        <f t="shared" si="60"/>
        <v>213838482.3178129</v>
      </c>
      <c r="BN97" s="215"/>
      <c r="BO97" s="215"/>
      <c r="BP97" s="215"/>
      <c r="BQ97" s="215"/>
      <c r="BR97" s="215">
        <f>SUM(BR5:BR95)</f>
        <v>521194.1021873071</v>
      </c>
      <c r="BS97" s="215">
        <f>SUM(BS5:BS95)</f>
        <v>229644841.3800001</v>
      </c>
      <c r="BT97" s="215">
        <f>SUM(BT5:BT95)</f>
        <v>-43296.299999999996</v>
      </c>
      <c r="BU97" s="215">
        <f>SUM(BU5:BU95)</f>
        <v>-24119.399999999998</v>
      </c>
      <c r="BV97" s="216">
        <f>SUM(BV5:BV95)</f>
        <v>229577425.6800002</v>
      </c>
      <c r="BX97" s="217" t="e">
        <f>SUM(BX5:BX95)</f>
        <v>#REF!</v>
      </c>
      <c r="BY97" s="218" t="e">
        <f>SUM(BY5:BY95)</f>
        <v>#REF!</v>
      </c>
      <c r="BZ97" s="219">
        <f>SUM(BZ5:BZ95)</f>
        <v>548160</v>
      </c>
      <c r="CA97" s="220">
        <f>SUM(CA5:CA95)</f>
        <v>226246</v>
      </c>
      <c r="CB97" s="221">
        <f>SUM(CB5:CB95)</f>
        <v>6235839</v>
      </c>
      <c r="CD97" s="222">
        <f>SUM(CD5:CD95)</f>
        <v>4933010</v>
      </c>
      <c r="CE97" s="223">
        <f aca="true" t="shared" si="61" ref="CE97:CK97">SUM(CE5:CE95)</f>
        <v>73470</v>
      </c>
      <c r="CF97" s="223">
        <f t="shared" si="61"/>
        <v>194635</v>
      </c>
      <c r="CG97" s="223">
        <f t="shared" si="61"/>
        <v>952822.4999999998</v>
      </c>
      <c r="CH97" s="223">
        <f t="shared" si="61"/>
        <v>2568913</v>
      </c>
      <c r="CI97" s="223">
        <f t="shared" si="61"/>
        <v>372537</v>
      </c>
      <c r="CJ97" s="223">
        <f t="shared" si="61"/>
        <v>385792</v>
      </c>
      <c r="CK97" s="224">
        <f t="shared" si="61"/>
        <v>973247</v>
      </c>
    </row>
    <row r="98" spans="82:89" ht="12.75">
      <c r="CD98" s="7"/>
      <c r="CE98" s="7"/>
      <c r="CF98" s="7"/>
      <c r="CG98" s="7"/>
      <c r="CH98" s="7"/>
      <c r="CI98" s="7"/>
      <c r="CJ98" s="7"/>
      <c r="CK98" s="7"/>
    </row>
    <row r="99" spans="63:89" ht="12.75">
      <c r="BK99" s="172"/>
      <c r="CD99" s="7"/>
      <c r="CE99" s="7"/>
      <c r="CF99" s="7"/>
      <c r="CG99" s="7"/>
      <c r="CH99" s="7"/>
      <c r="CI99" s="7"/>
      <c r="CJ99" s="7"/>
      <c r="CK99" s="7"/>
    </row>
    <row r="100" spans="63:89" ht="12.75">
      <c r="BK100" s="172"/>
      <c r="BQ100" s="173"/>
      <c r="CD100" s="7"/>
      <c r="CE100" s="7"/>
      <c r="CF100" s="7"/>
      <c r="CG100" s="7"/>
      <c r="CH100" s="7"/>
      <c r="CI100" s="7"/>
      <c r="CJ100" s="7"/>
      <c r="CK100" s="7"/>
    </row>
    <row r="101" spans="6:89" ht="12.75">
      <c r="F101" s="195"/>
      <c r="G101" s="195"/>
      <c r="H101" s="195"/>
      <c r="BK101" s="172"/>
      <c r="BQ101" s="173"/>
      <c r="CD101" s="7"/>
      <c r="CE101" s="7"/>
      <c r="CF101" s="7"/>
      <c r="CG101" s="7"/>
      <c r="CH101" s="7"/>
      <c r="CI101" s="7"/>
      <c r="CJ101" s="7"/>
      <c r="CK101" s="7"/>
    </row>
    <row r="102" spans="6:89" ht="12.75">
      <c r="F102" s="195"/>
      <c r="G102" s="195"/>
      <c r="H102" s="195"/>
      <c r="BK102" s="172"/>
      <c r="BQ102" s="173"/>
      <c r="CD102" s="7"/>
      <c r="CE102" s="7"/>
      <c r="CF102" s="7"/>
      <c r="CG102" s="7"/>
      <c r="CH102" s="7"/>
      <c r="CI102" s="7"/>
      <c r="CJ102" s="7"/>
      <c r="CK102" s="7"/>
    </row>
    <row r="103" spans="6:89" ht="12.75">
      <c r="F103" s="195"/>
      <c r="G103" s="195"/>
      <c r="H103" s="195"/>
      <c r="BK103" s="172"/>
      <c r="BQ103" s="173"/>
      <c r="CD103" s="7"/>
      <c r="CE103" s="7"/>
      <c r="CF103" s="7"/>
      <c r="CG103" s="7"/>
      <c r="CH103" s="7"/>
      <c r="CI103" s="7"/>
      <c r="CJ103" s="7"/>
      <c r="CK103" s="7"/>
    </row>
    <row r="104" spans="6:89" ht="12.75">
      <c r="F104" s="195"/>
      <c r="G104" s="195"/>
      <c r="H104" s="195"/>
      <c r="BK104" s="172"/>
      <c r="BQ104" s="173"/>
      <c r="CD104" s="7"/>
      <c r="CE104" s="7"/>
      <c r="CF104" s="7"/>
      <c r="CG104" s="7"/>
      <c r="CH104" s="7"/>
      <c r="CI104" s="7"/>
      <c r="CJ104" s="7"/>
      <c r="CK104" s="7"/>
    </row>
    <row r="105" spans="6:89" ht="12.75">
      <c r="F105" s="195"/>
      <c r="G105" s="195"/>
      <c r="H105" s="195"/>
      <c r="BK105" s="172"/>
      <c r="BQ105" s="173"/>
      <c r="CD105" s="7"/>
      <c r="CE105" s="7"/>
      <c r="CF105" s="7"/>
      <c r="CG105" s="7"/>
      <c r="CH105" s="7"/>
      <c r="CI105" s="7"/>
      <c r="CJ105" s="7"/>
      <c r="CK105" s="7"/>
    </row>
    <row r="106" spans="6:89" ht="12.75">
      <c r="F106" s="195"/>
      <c r="G106" s="195"/>
      <c r="H106" s="195"/>
      <c r="BK106" s="172"/>
      <c r="BQ106" s="173"/>
      <c r="CD106" s="7"/>
      <c r="CE106" s="7"/>
      <c r="CF106" s="7"/>
      <c r="CG106" s="7"/>
      <c r="CH106" s="7"/>
      <c r="CI106" s="7"/>
      <c r="CJ106" s="7"/>
      <c r="CK106" s="7"/>
    </row>
    <row r="107" spans="6:89" ht="12.75">
      <c r="F107" s="195"/>
      <c r="G107" s="195"/>
      <c r="H107" s="195"/>
      <c r="BK107" s="172"/>
      <c r="BQ107" s="173"/>
      <c r="CD107" s="7"/>
      <c r="CE107" s="7"/>
      <c r="CF107" s="7"/>
      <c r="CG107" s="7"/>
      <c r="CH107" s="7"/>
      <c r="CI107" s="7"/>
      <c r="CJ107" s="7"/>
      <c r="CK107" s="7"/>
    </row>
    <row r="108" spans="6:89" ht="12.75">
      <c r="F108" s="195"/>
      <c r="G108" s="195"/>
      <c r="H108" s="195"/>
      <c r="BK108" s="172"/>
      <c r="BQ108" s="173"/>
      <c r="CD108" s="7"/>
      <c r="CE108" s="7"/>
      <c r="CF108" s="7"/>
      <c r="CG108" s="7"/>
      <c r="CH108" s="7"/>
      <c r="CI108" s="7"/>
      <c r="CJ108" s="7"/>
      <c r="CK108" s="7"/>
    </row>
    <row r="109" spans="6:89" ht="12.75">
      <c r="F109" s="195"/>
      <c r="G109" s="195"/>
      <c r="H109" s="195"/>
      <c r="BK109" s="172"/>
      <c r="BQ109" s="173"/>
      <c r="CD109" s="7"/>
      <c r="CE109" s="7"/>
      <c r="CF109" s="7"/>
      <c r="CG109" s="7"/>
      <c r="CH109" s="7"/>
      <c r="CI109" s="7"/>
      <c r="CJ109" s="7"/>
      <c r="CK109" s="7"/>
    </row>
    <row r="110" spans="6:89" ht="12.75">
      <c r="F110" s="195"/>
      <c r="G110" s="195"/>
      <c r="H110" s="195"/>
      <c r="BK110" s="172"/>
      <c r="BQ110" s="173"/>
      <c r="CD110" s="7"/>
      <c r="CE110" s="7"/>
      <c r="CF110" s="7"/>
      <c r="CG110" s="7"/>
      <c r="CH110" s="7"/>
      <c r="CI110" s="7"/>
      <c r="CJ110" s="7"/>
      <c r="CK110" s="7"/>
    </row>
    <row r="111" spans="6:89" ht="12.75">
      <c r="F111" s="195"/>
      <c r="G111" s="195"/>
      <c r="H111" s="195"/>
      <c r="BK111" s="172"/>
      <c r="BQ111" s="173"/>
      <c r="CD111" s="7"/>
      <c r="CE111" s="7"/>
      <c r="CF111" s="7"/>
      <c r="CG111" s="7"/>
      <c r="CH111" s="7"/>
      <c r="CI111" s="7"/>
      <c r="CJ111" s="7"/>
      <c r="CK111" s="7"/>
    </row>
    <row r="112" spans="6:89" ht="12.75">
      <c r="F112" s="195"/>
      <c r="G112" s="195"/>
      <c r="H112" s="195"/>
      <c r="BK112" s="172"/>
      <c r="BQ112" s="173"/>
      <c r="CD112" s="7"/>
      <c r="CE112" s="7"/>
      <c r="CF112" s="7"/>
      <c r="CG112" s="7"/>
      <c r="CH112" s="7"/>
      <c r="CI112" s="7"/>
      <c r="CJ112" s="7"/>
      <c r="CK112" s="7"/>
    </row>
    <row r="113" spans="6:89" ht="12.75">
      <c r="F113" s="195"/>
      <c r="G113" s="195"/>
      <c r="H113" s="195"/>
      <c r="BK113" s="172"/>
      <c r="BQ113" s="173"/>
      <c r="CD113" s="7"/>
      <c r="CE113" s="7"/>
      <c r="CF113" s="7"/>
      <c r="CG113" s="7"/>
      <c r="CH113" s="7"/>
      <c r="CI113" s="7"/>
      <c r="CJ113" s="7"/>
      <c r="CK113" s="7"/>
    </row>
    <row r="114" spans="6:89" ht="12.75">
      <c r="F114" s="195"/>
      <c r="G114" s="195"/>
      <c r="H114" s="195"/>
      <c r="BK114" s="172"/>
      <c r="BQ114" s="173"/>
      <c r="CD114" s="7"/>
      <c r="CE114" s="7"/>
      <c r="CF114" s="7"/>
      <c r="CG114" s="7"/>
      <c r="CH114" s="7"/>
      <c r="CI114" s="7"/>
      <c r="CJ114" s="7"/>
      <c r="CK114" s="7"/>
    </row>
    <row r="115" spans="6:89" ht="12.75">
      <c r="F115" s="195"/>
      <c r="G115" s="195"/>
      <c r="H115" s="195"/>
      <c r="BQ115" s="173"/>
      <c r="CD115" s="7"/>
      <c r="CE115" s="7"/>
      <c r="CF115" s="7"/>
      <c r="CG115" s="7"/>
      <c r="CH115" s="7"/>
      <c r="CI115" s="7"/>
      <c r="CJ115" s="7"/>
      <c r="CK115" s="7"/>
    </row>
    <row r="116" spans="6:89" ht="12.75">
      <c r="F116" s="195"/>
      <c r="G116" s="195"/>
      <c r="H116" s="195"/>
      <c r="BQ116" s="173"/>
      <c r="CD116" s="7"/>
      <c r="CE116" s="7"/>
      <c r="CF116" s="7"/>
      <c r="CG116" s="7"/>
      <c r="CH116" s="7"/>
      <c r="CI116" s="7"/>
      <c r="CJ116" s="7"/>
      <c r="CK116" s="7"/>
    </row>
    <row r="117" spans="6:89" ht="12.75">
      <c r="F117" s="195"/>
      <c r="G117" s="195"/>
      <c r="H117" s="195"/>
      <c r="BQ117" s="173"/>
      <c r="CD117" s="7"/>
      <c r="CE117" s="7"/>
      <c r="CF117" s="7"/>
      <c r="CG117" s="7"/>
      <c r="CH117" s="7"/>
      <c r="CI117" s="7"/>
      <c r="CJ117" s="7"/>
      <c r="CK117" s="7"/>
    </row>
    <row r="118" spans="6:89" ht="12.75">
      <c r="F118" s="195"/>
      <c r="G118" s="195"/>
      <c r="H118" s="195"/>
      <c r="BQ118" s="173"/>
      <c r="CD118" s="7"/>
      <c r="CE118" s="7"/>
      <c r="CF118" s="7"/>
      <c r="CG118" s="7"/>
      <c r="CH118" s="7"/>
      <c r="CI118" s="7"/>
      <c r="CJ118" s="7"/>
      <c r="CK118" s="7"/>
    </row>
    <row r="119" spans="69:89" ht="12.75">
      <c r="BQ119" s="173"/>
      <c r="CD119" s="7"/>
      <c r="CE119" s="7"/>
      <c r="CF119" s="7"/>
      <c r="CG119" s="7"/>
      <c r="CH119" s="7"/>
      <c r="CI119" s="7"/>
      <c r="CJ119" s="7"/>
      <c r="CK119" s="7"/>
    </row>
    <row r="120" spans="69:89" ht="12.75">
      <c r="BQ120" s="173"/>
      <c r="CD120" s="7"/>
      <c r="CE120" s="7"/>
      <c r="CF120" s="7"/>
      <c r="CG120" s="7"/>
      <c r="CH120" s="7"/>
      <c r="CI120" s="7"/>
      <c r="CJ120" s="7"/>
      <c r="CK120" s="7"/>
    </row>
    <row r="121" spans="69:89" ht="12.75">
      <c r="BQ121" s="173"/>
      <c r="CD121" s="7"/>
      <c r="CE121" s="7"/>
      <c r="CF121" s="7"/>
      <c r="CG121" s="7"/>
      <c r="CH121" s="7"/>
      <c r="CI121" s="7"/>
      <c r="CJ121" s="7"/>
      <c r="CK121" s="7"/>
    </row>
    <row r="122" spans="69:89" ht="12.75">
      <c r="BQ122" s="173"/>
      <c r="CD122" s="7"/>
      <c r="CE122" s="7"/>
      <c r="CF122" s="7"/>
      <c r="CG122" s="7"/>
      <c r="CH122" s="7"/>
      <c r="CI122" s="7"/>
      <c r="CJ122" s="7"/>
      <c r="CK122" s="7"/>
    </row>
    <row r="123" spans="69:89" ht="12.75">
      <c r="BQ123" s="173"/>
      <c r="CD123" s="7"/>
      <c r="CE123" s="7"/>
      <c r="CF123" s="7"/>
      <c r="CG123" s="7"/>
      <c r="CH123" s="7"/>
      <c r="CI123" s="7"/>
      <c r="CJ123" s="7"/>
      <c r="CK123" s="7"/>
    </row>
    <row r="124" spans="69:89" ht="12.75">
      <c r="BQ124" s="173"/>
      <c r="CD124" s="7"/>
      <c r="CE124" s="7"/>
      <c r="CF124" s="7"/>
      <c r="CG124" s="7"/>
      <c r="CH124" s="7"/>
      <c r="CI124" s="7"/>
      <c r="CJ124" s="7"/>
      <c r="CK124" s="7"/>
    </row>
    <row r="125" spans="69:89" ht="12.75">
      <c r="BQ125" s="173"/>
      <c r="CD125" s="7"/>
      <c r="CE125" s="7"/>
      <c r="CF125" s="7"/>
      <c r="CG125" s="7"/>
      <c r="CH125" s="7"/>
      <c r="CI125" s="7"/>
      <c r="CJ125" s="7"/>
      <c r="CK125" s="7"/>
    </row>
    <row r="126" spans="69:89" ht="12.75">
      <c r="BQ126" s="173"/>
      <c r="CD126" s="7"/>
      <c r="CE126" s="7"/>
      <c r="CF126" s="7"/>
      <c r="CG126" s="7"/>
      <c r="CH126" s="7"/>
      <c r="CI126" s="7"/>
      <c r="CJ126" s="7"/>
      <c r="CK126" s="7"/>
    </row>
    <row r="127" spans="69:89" ht="12.75">
      <c r="BQ127" s="173"/>
      <c r="CD127" s="7"/>
      <c r="CE127" s="7"/>
      <c r="CF127" s="7"/>
      <c r="CG127" s="7"/>
      <c r="CH127" s="7"/>
      <c r="CI127" s="7"/>
      <c r="CJ127" s="7"/>
      <c r="CK127" s="7"/>
    </row>
    <row r="128" spans="69:89" ht="12.75">
      <c r="BQ128" s="173"/>
      <c r="CD128" s="7"/>
      <c r="CE128" s="7"/>
      <c r="CF128" s="7"/>
      <c r="CG128" s="7"/>
      <c r="CH128" s="7"/>
      <c r="CI128" s="7"/>
      <c r="CJ128" s="7"/>
      <c r="CK128" s="7"/>
    </row>
    <row r="129" spans="69:89" ht="12.75">
      <c r="BQ129" s="173"/>
      <c r="CD129" s="7"/>
      <c r="CE129" s="7"/>
      <c r="CF129" s="7"/>
      <c r="CG129" s="7"/>
      <c r="CH129" s="7"/>
      <c r="CI129" s="7"/>
      <c r="CJ129" s="7"/>
      <c r="CK129" s="7"/>
    </row>
    <row r="130" spans="69:89" ht="12.75">
      <c r="BQ130" s="173"/>
      <c r="CD130" s="7"/>
      <c r="CE130" s="7"/>
      <c r="CF130" s="7"/>
      <c r="CG130" s="7"/>
      <c r="CH130" s="7"/>
      <c r="CI130" s="7"/>
      <c r="CJ130" s="7"/>
      <c r="CK130" s="7"/>
    </row>
    <row r="131" spans="69:89" ht="12.75">
      <c r="BQ131" s="173"/>
      <c r="CD131" s="7"/>
      <c r="CE131" s="7"/>
      <c r="CF131" s="7"/>
      <c r="CG131" s="7"/>
      <c r="CH131" s="7"/>
      <c r="CI131" s="7"/>
      <c r="CJ131" s="7"/>
      <c r="CK131" s="7"/>
    </row>
    <row r="132" spans="69:89" ht="12.75">
      <c r="BQ132" s="173"/>
      <c r="CD132" s="7"/>
      <c r="CE132" s="7"/>
      <c r="CF132" s="7"/>
      <c r="CG132" s="7"/>
      <c r="CH132" s="7"/>
      <c r="CI132" s="7"/>
      <c r="CJ132" s="7"/>
      <c r="CK132" s="7"/>
    </row>
    <row r="133" spans="69:89" ht="12.75">
      <c r="BQ133" s="173"/>
      <c r="CD133" s="7"/>
      <c r="CE133" s="7"/>
      <c r="CF133" s="7"/>
      <c r="CG133" s="7"/>
      <c r="CH133" s="7"/>
      <c r="CI133" s="7"/>
      <c r="CJ133" s="7"/>
      <c r="CK133" s="7"/>
    </row>
    <row r="134" spans="69:89" ht="12.75">
      <c r="BQ134" s="173"/>
      <c r="CD134" s="7"/>
      <c r="CE134" s="7"/>
      <c r="CF134" s="7"/>
      <c r="CG134" s="7"/>
      <c r="CH134" s="7"/>
      <c r="CI134" s="7"/>
      <c r="CJ134" s="7"/>
      <c r="CK134" s="7"/>
    </row>
    <row r="135" ht="12.75">
      <c r="BQ135" s="173"/>
    </row>
    <row r="136" ht="12.75">
      <c r="BQ136" s="173"/>
    </row>
    <row r="137" ht="12.75">
      <c r="BQ137" s="173"/>
    </row>
    <row r="138" ht="12.75">
      <c r="BQ138" s="173"/>
    </row>
    <row r="139" ht="12.75">
      <c r="BQ139" s="173"/>
    </row>
    <row r="140" ht="12.75">
      <c r="BQ140" s="173"/>
    </row>
    <row r="141" ht="12.75">
      <c r="BQ141" s="173"/>
    </row>
    <row r="142" ht="12.75">
      <c r="BQ142" s="173"/>
    </row>
    <row r="143" ht="12.75">
      <c r="BQ143" s="173"/>
    </row>
    <row r="144" ht="12.75">
      <c r="BQ144" s="173"/>
    </row>
    <row r="145" ht="12.75">
      <c r="BQ145" s="173"/>
    </row>
    <row r="146" ht="12.75">
      <c r="BQ146" s="173"/>
    </row>
    <row r="147" ht="12.75">
      <c r="BQ147" s="173"/>
    </row>
    <row r="148" ht="12.75">
      <c r="BQ148" s="173"/>
    </row>
    <row r="149" ht="12.75">
      <c r="BQ149" s="173"/>
    </row>
    <row r="150" ht="12.75">
      <c r="BQ150" s="173"/>
    </row>
    <row r="151" ht="12.75">
      <c r="BQ151" s="173"/>
    </row>
    <row r="152" ht="12.75">
      <c r="BQ152" s="173"/>
    </row>
    <row r="153" ht="12.75">
      <c r="BQ153" s="173"/>
    </row>
    <row r="154" ht="12.75">
      <c r="BQ154" s="173"/>
    </row>
    <row r="155" ht="12.75">
      <c r="BQ155" s="173"/>
    </row>
    <row r="156" ht="12.75">
      <c r="BQ156" s="173"/>
    </row>
    <row r="157" ht="12.75">
      <c r="BQ157" s="173"/>
    </row>
    <row r="158" ht="12.75">
      <c r="BQ158" s="173"/>
    </row>
    <row r="159" ht="12.75">
      <c r="BQ159" s="173"/>
    </row>
    <row r="160" ht="12.75">
      <c r="BQ160" s="173"/>
    </row>
    <row r="161" ht="12.75">
      <c r="BQ161" s="173"/>
    </row>
    <row r="162" ht="12.75">
      <c r="BQ162" s="173"/>
    </row>
    <row r="163" ht="12.75">
      <c r="BQ163" s="173"/>
    </row>
    <row r="164" ht="12.75">
      <c r="BQ164" s="173"/>
    </row>
    <row r="165" ht="12.75">
      <c r="BQ165" s="173"/>
    </row>
    <row r="166" ht="12.75">
      <c r="BQ166" s="173"/>
    </row>
    <row r="167" ht="12.75">
      <c r="BQ167" s="173"/>
    </row>
    <row r="168" ht="12.75">
      <c r="BQ168" s="173"/>
    </row>
    <row r="169" ht="12.75">
      <c r="BQ169" s="173"/>
    </row>
    <row r="170" ht="12.75">
      <c r="BQ170" s="173"/>
    </row>
    <row r="171" ht="12.75">
      <c r="BQ171" s="173"/>
    </row>
    <row r="172" ht="12.75">
      <c r="BQ172" s="173"/>
    </row>
    <row r="173" ht="12.75">
      <c r="BQ173" s="173"/>
    </row>
    <row r="174" ht="12.75">
      <c r="BQ174" s="173"/>
    </row>
    <row r="175" ht="12.75">
      <c r="BQ175" s="173"/>
    </row>
    <row r="176" ht="12.75">
      <c r="BQ176" s="173"/>
    </row>
    <row r="177" ht="12.75">
      <c r="BQ177" s="173"/>
    </row>
    <row r="178" ht="12.75">
      <c r="BQ178" s="173"/>
    </row>
    <row r="179" ht="12.75">
      <c r="BQ179" s="173"/>
    </row>
    <row r="180" ht="12.75">
      <c r="BQ180" s="166"/>
    </row>
  </sheetData>
  <sheetProtection/>
  <autoFilter ref="A4:CL4"/>
  <mergeCells count="3">
    <mergeCell ref="D3:AB3"/>
    <mergeCell ref="CD3:CK3"/>
    <mergeCell ref="BX3:CB3"/>
  </mergeCells>
  <conditionalFormatting sqref="B1:B65536">
    <cfRule type="duplicateValues" priority="3" dxfId="0">
      <formula>AND(COUNTIF($B$1:$B$65536,B1)&gt;1,NOT(ISBLANK(B1)))</formula>
    </cfRule>
  </conditionalFormatting>
  <conditionalFormatting sqref="A4">
    <cfRule type="duplicateValues" priority="1" dxfId="0">
      <formula>AND(COUNTIF($A$4:$A$4,A4)&gt;1,NOT(ISBLANK(A4)))</formula>
    </cfRule>
  </conditionalFormatting>
  <dataValidations count="1">
    <dataValidation type="decimal" operator="greaterThanOrEqual" allowBlank="1" showInputMessage="1" showErrorMessage="1" error="This figure cannot be negative" sqref="BA5:BA95">
      <formula1>0</formula1>
    </dataValidation>
  </dataValidations>
  <printOptions/>
  <pageMargins left="0.75" right="0.75" top="1" bottom="1" header="0.5" footer="0.5"/>
  <pageSetup fitToWidth="3" fitToHeight="1" horizontalDpi="600" verticalDpi="600" orientation="landscape" paperSize="8" scale="38"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30"/>
  <sheetViews>
    <sheetView zoomScalePageLayoutView="0" workbookViewId="0" topLeftCell="A1">
      <selection activeCell="G34" sqref="G34"/>
    </sheetView>
  </sheetViews>
  <sheetFormatPr defaultColWidth="12.7109375" defaultRowHeight="12.75"/>
  <cols>
    <col min="1" max="1" width="19.28125" style="36" customWidth="1"/>
    <col min="2" max="4" width="12.7109375" style="36" customWidth="1"/>
    <col min="5" max="5" width="4.7109375" style="36" customWidth="1"/>
    <col min="6" max="6" width="15.57421875" style="36" bestFit="1" customWidth="1"/>
    <col min="7" max="16384" width="12.7109375" style="36" customWidth="1"/>
  </cols>
  <sheetData>
    <row r="1" spans="1:2" ht="18">
      <c r="A1" s="37" t="s">
        <v>264</v>
      </c>
      <c r="B1" s="64"/>
    </row>
    <row r="2" spans="1:2" ht="12.75">
      <c r="A2" s="38"/>
      <c r="B2" s="45"/>
    </row>
    <row r="4" ht="12.75">
      <c r="F4" s="38" t="s">
        <v>136</v>
      </c>
    </row>
    <row r="5" spans="1:6" ht="12.75">
      <c r="A5" s="38"/>
      <c r="F5" s="38" t="s">
        <v>114</v>
      </c>
    </row>
    <row r="6" spans="1:6" ht="12.75">
      <c r="A6" s="38"/>
      <c r="D6" s="38" t="s">
        <v>115</v>
      </c>
      <c r="F6" s="38" t="s">
        <v>116</v>
      </c>
    </row>
    <row r="7" spans="4:6" ht="12.75">
      <c r="D7" s="36" t="s">
        <v>117</v>
      </c>
      <c r="F7" s="36" t="s">
        <v>113</v>
      </c>
    </row>
    <row r="9" spans="1:6" ht="12.75">
      <c r="A9" s="36" t="s">
        <v>118</v>
      </c>
      <c r="D9" s="41"/>
      <c r="E9" s="41"/>
      <c r="F9" s="97">
        <v>229705</v>
      </c>
    </row>
    <row r="10" spans="4:6" ht="13.5" customHeight="1">
      <c r="D10" s="41"/>
      <c r="E10" s="41"/>
      <c r="F10" s="41"/>
    </row>
    <row r="11" spans="1:6" ht="13.5" customHeight="1">
      <c r="A11" s="40" t="s">
        <v>115</v>
      </c>
      <c r="D11" s="41"/>
      <c r="E11" s="41"/>
      <c r="F11" s="41"/>
    </row>
    <row r="12" spans="1:6" ht="13.5" customHeight="1">
      <c r="A12" s="39" t="s">
        <v>122</v>
      </c>
      <c r="D12" s="212">
        <v>4.92</v>
      </c>
      <c r="E12" s="41"/>
      <c r="F12" s="41"/>
    </row>
    <row r="13" spans="1:6" ht="13.5" customHeight="1">
      <c r="A13" s="39" t="s">
        <v>112</v>
      </c>
      <c r="D13" s="212">
        <v>0.55</v>
      </c>
      <c r="E13" s="41"/>
      <c r="F13" s="41"/>
    </row>
    <row r="14" spans="1:6" ht="13.5" customHeight="1" thickBot="1">
      <c r="A14" s="39" t="s">
        <v>188</v>
      </c>
      <c r="D14" s="212">
        <v>0.31</v>
      </c>
      <c r="E14" s="41"/>
      <c r="F14" s="41"/>
    </row>
    <row r="15" spans="1:6" ht="13.5" thickBot="1">
      <c r="A15" s="36" t="s">
        <v>119</v>
      </c>
      <c r="D15" s="42">
        <f>SUM(D12:D14)</f>
        <v>5.779999999999999</v>
      </c>
      <c r="E15" s="41"/>
      <c r="F15" s="41"/>
    </row>
    <row r="16" spans="4:6" ht="13.5" thickBot="1">
      <c r="D16" s="41"/>
      <c r="E16" s="41"/>
      <c r="F16" s="41"/>
    </row>
    <row r="17" spans="1:6" ht="13.5" thickBot="1">
      <c r="A17" s="36" t="s">
        <v>230</v>
      </c>
      <c r="D17" s="43">
        <v>53160</v>
      </c>
      <c r="E17" s="41"/>
      <c r="F17" s="41">
        <f>D17*D15</f>
        <v>307264.8</v>
      </c>
    </row>
    <row r="18" spans="1:6" ht="13.5" thickBot="1">
      <c r="A18" s="36" t="s">
        <v>231</v>
      </c>
      <c r="D18" s="43">
        <v>15060</v>
      </c>
      <c r="E18" s="41"/>
      <c r="F18" s="41">
        <f>D18*D15</f>
        <v>87046.79999999999</v>
      </c>
    </row>
    <row r="20" spans="1:6" ht="12.75">
      <c r="A20" s="36" t="s">
        <v>120</v>
      </c>
      <c r="F20" s="44">
        <f>D15*D17+D15*D18</f>
        <v>394311.6</v>
      </c>
    </row>
    <row r="21" ht="13.5" thickBot="1"/>
    <row r="22" spans="1:6" ht="16.5" thickBot="1">
      <c r="A22" s="47" t="s">
        <v>121</v>
      </c>
      <c r="B22" s="48"/>
      <c r="C22" s="48"/>
      <c r="D22" s="48"/>
      <c r="E22" s="48"/>
      <c r="F22" s="46">
        <f>F9+F20</f>
        <v>624016.6</v>
      </c>
    </row>
    <row r="23" ht="12.75">
      <c r="F23" s="41"/>
    </row>
    <row r="24" ht="13.5" thickBot="1"/>
    <row r="25" spans="1:4" ht="13.5" thickBot="1">
      <c r="A25" s="38" t="s">
        <v>200</v>
      </c>
      <c r="D25" s="118">
        <v>5938</v>
      </c>
    </row>
    <row r="30" ht="12.75">
      <c r="A30" s="41"/>
    </row>
  </sheetData>
  <sheetProtection/>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C16"/>
  <sheetViews>
    <sheetView zoomScalePageLayoutView="0" workbookViewId="0" topLeftCell="A1">
      <selection activeCell="C11" sqref="C11"/>
    </sheetView>
  </sheetViews>
  <sheetFormatPr defaultColWidth="9.140625" defaultRowHeight="12.75"/>
  <sheetData>
    <row r="1" ht="12.75">
      <c r="C1" t="s">
        <v>196</v>
      </c>
    </row>
    <row r="2" spans="2:3" ht="12.75">
      <c r="B2" s="87">
        <v>1</v>
      </c>
      <c r="C2" t="s">
        <v>193</v>
      </c>
    </row>
    <row r="3" spans="2:3" ht="12.75">
      <c r="B3" s="87">
        <v>2</v>
      </c>
      <c r="C3" t="s">
        <v>194</v>
      </c>
    </row>
    <row r="4" spans="2:3" ht="12.75">
      <c r="B4" s="87">
        <v>3</v>
      </c>
      <c r="C4" t="s">
        <v>195</v>
      </c>
    </row>
    <row r="5" spans="2:3" ht="12.75">
      <c r="B5" s="87">
        <v>4</v>
      </c>
      <c r="C5" t="s">
        <v>197</v>
      </c>
    </row>
    <row r="6" spans="2:3" ht="12.75">
      <c r="B6" s="87">
        <v>5</v>
      </c>
      <c r="C6" t="s">
        <v>198</v>
      </c>
    </row>
    <row r="7" spans="2:3" ht="12.75">
      <c r="B7" s="87">
        <v>6</v>
      </c>
      <c r="C7" t="s">
        <v>199</v>
      </c>
    </row>
    <row r="8" spans="2:3" ht="12.75">
      <c r="B8" s="87">
        <v>7</v>
      </c>
      <c r="C8" t="s">
        <v>202</v>
      </c>
    </row>
    <row r="9" spans="2:3" ht="12.75">
      <c r="B9" s="87">
        <v>8</v>
      </c>
      <c r="C9" t="s">
        <v>203</v>
      </c>
    </row>
    <row r="10" spans="2:3" ht="12.75">
      <c r="B10" s="87">
        <v>9</v>
      </c>
      <c r="C10" t="s">
        <v>204</v>
      </c>
    </row>
    <row r="11" ht="12.75">
      <c r="B11" s="87">
        <v>10</v>
      </c>
    </row>
    <row r="12" ht="12.75">
      <c r="B12" s="87">
        <v>11</v>
      </c>
    </row>
    <row r="13" ht="12.75">
      <c r="B13" s="87">
        <v>12</v>
      </c>
    </row>
    <row r="14" ht="12.75">
      <c r="B14" s="87">
        <v>13</v>
      </c>
    </row>
    <row r="15" ht="12.75">
      <c r="B15" s="87">
        <v>14</v>
      </c>
    </row>
    <row r="16" ht="12.75">
      <c r="B16" s="87">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Hillingdon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Munro</dc:creator>
  <cp:keywords/>
  <dc:description/>
  <cp:lastModifiedBy>Chloe-Mai Parfitt</cp:lastModifiedBy>
  <cp:lastPrinted>2020-03-30T08:47:08Z</cp:lastPrinted>
  <dcterms:created xsi:type="dcterms:W3CDTF">2013-01-31T15:35:29Z</dcterms:created>
  <dcterms:modified xsi:type="dcterms:W3CDTF">2020-05-29T11:26:00Z</dcterms:modified>
  <cp:category/>
  <cp:version/>
  <cp:contentType/>
  <cp:contentStatus/>
</cp:coreProperties>
</file>